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markmelanson/Downloads/"/>
    </mc:Choice>
  </mc:AlternateContent>
  <xr:revisionPtr revIDLastSave="0" documentId="13_ncr:1_{98A114D5-5655-4E4C-9C89-B1FCAA4EFB6D}" xr6:coauthVersionLast="47" xr6:coauthVersionMax="47" xr10:uidLastSave="{00000000-0000-0000-0000-000000000000}"/>
  <workbookProtection workbookAlgorithmName="SHA-512" workbookHashValue="WH6DpxCqaHiPdrN7jf5pPOY85C66/VL3tY9DyJpOmmKohFH1fsPZE32wC8UI4VHpSRuUrI41Llr5/Py1YYKubQ==" workbookSaltValue="BKxB6pgmNqcfFPGXqNmVZg==" workbookSpinCount="100000" lockStructure="1"/>
  <bookViews>
    <workbookView xWindow="860" yWindow="500" windowWidth="27940" windowHeight="16440" activeTab="5" xr2:uid="{9099C6AC-11A4-48AA-8872-FAA5694828E4}"/>
  </bookViews>
  <sheets>
    <sheet name="Summary" sheetId="7" r:id="rId1"/>
    <sheet name="Comparison of Occupations" sheetId="6" r:id="rId2"/>
    <sheet name="BLS Adjusted Wage Rate" sheetId="4" r:id="rId3"/>
    <sheet name="Rate Calculation Comparison" sheetId="1" r:id="rId4"/>
    <sheet name="Cost Comparison" sheetId="2" r:id="rId5"/>
    <sheet name="Burns &amp; Assoc Data"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2" l="1"/>
  <c r="E16" i="2" l="1"/>
  <c r="E15" i="2"/>
  <c r="E9" i="4"/>
  <c r="F8" i="4"/>
  <c r="F9" i="4" s="1"/>
  <c r="G13" i="1" s="1"/>
  <c r="G36" i="1" s="1"/>
  <c r="E17" i="2" l="1"/>
  <c r="C10" i="2"/>
  <c r="C11" i="2" s="1"/>
  <c r="F8" i="2"/>
  <c r="G8" i="2" s="1"/>
  <c r="H8" i="2" s="1"/>
  <c r="G16" i="1"/>
  <c r="G38" i="1"/>
  <c r="G33" i="1"/>
  <c r="G19" i="1"/>
  <c r="G25" i="1" s="1"/>
  <c r="F48" i="1"/>
  <c r="F45" i="1"/>
  <c r="F41" i="1"/>
  <c r="F36" i="1"/>
  <c r="F37" i="1"/>
  <c r="F32" i="1"/>
  <c r="F31" i="1"/>
  <c r="F30" i="1"/>
  <c r="F24" i="1"/>
  <c r="F23" i="1"/>
  <c r="F22" i="1"/>
  <c r="F21" i="1"/>
  <c r="F20" i="1"/>
  <c r="F15" i="1"/>
  <c r="F14" i="1"/>
  <c r="F13" i="1"/>
  <c r="E33" i="1"/>
  <c r="E19" i="1"/>
  <c r="E25" i="1" s="1"/>
  <c r="E46" i="1" s="1"/>
  <c r="E38" i="1"/>
  <c r="E40" i="1" s="1"/>
  <c r="E16" i="1"/>
  <c r="D38" i="1"/>
  <c r="D40" i="1" s="1"/>
  <c r="D33" i="1"/>
  <c r="D25" i="1"/>
  <c r="D46" i="1" s="1"/>
  <c r="F46" i="1" l="1"/>
  <c r="G40" i="1"/>
  <c r="G42" i="1" s="1"/>
  <c r="F40" i="1"/>
  <c r="D42" i="1"/>
  <c r="F38" i="1"/>
  <c r="F33" i="1"/>
  <c r="G34" i="1"/>
  <c r="G46" i="1"/>
  <c r="G26" i="1"/>
  <c r="G28" i="1" s="1"/>
  <c r="F25" i="1"/>
  <c r="F19" i="1"/>
  <c r="E34" i="1"/>
  <c r="E26" i="1"/>
  <c r="E42" i="1"/>
  <c r="D26" i="1"/>
  <c r="D34" i="1"/>
  <c r="D16" i="1"/>
  <c r="F16" i="1" s="1"/>
  <c r="M42" i="1"/>
  <c r="I25" i="1"/>
  <c r="I26" i="1" s="1"/>
  <c r="O23" i="1"/>
  <c r="I14" i="1"/>
  <c r="F42" i="1" l="1"/>
  <c r="F34" i="1"/>
  <c r="G52" i="1"/>
  <c r="G44" i="1"/>
  <c r="E28" i="1"/>
  <c r="E52" i="1" s="1"/>
  <c r="F26" i="1"/>
  <c r="D28" i="1"/>
  <c r="H13" i="1"/>
  <c r="J28" i="1"/>
  <c r="J44" i="1" s="1"/>
  <c r="I46" i="1"/>
  <c r="D9" i="2" l="1"/>
  <c r="E9" i="2" s="1"/>
  <c r="E44" i="1"/>
  <c r="G49" i="1"/>
  <c r="D44" i="1"/>
  <c r="D52" i="1"/>
  <c r="D49" i="1" s="1"/>
  <c r="E49" i="1"/>
  <c r="J49" i="1"/>
  <c r="J52" i="1" s="1"/>
  <c r="H36" i="1"/>
  <c r="K37" i="1"/>
  <c r="H16" i="1"/>
  <c r="I13" i="1"/>
  <c r="D10" i="2" l="1"/>
  <c r="D11" i="2" s="1"/>
  <c r="E10" i="2"/>
  <c r="F9" i="2"/>
  <c r="G9" i="2" s="1"/>
  <c r="H9" i="2" s="1"/>
  <c r="F44" i="1"/>
  <c r="F49" i="1"/>
  <c r="F52" i="1"/>
  <c r="H28" i="1"/>
  <c r="H39" i="1"/>
  <c r="H37" i="1"/>
  <c r="I36" i="1"/>
  <c r="I16" i="1"/>
  <c r="E11" i="2" l="1"/>
  <c r="F10" i="2"/>
  <c r="I28" i="1"/>
  <c r="I39" i="1"/>
  <c r="I37" i="1"/>
  <c r="F11" i="2" l="1"/>
  <c r="G10" i="2"/>
  <c r="G11" i="2" l="1"/>
  <c r="H10" i="2"/>
  <c r="H11" i="2" s="1"/>
</calcChain>
</file>

<file path=xl/sharedStrings.xml><?xml version="1.0" encoding="utf-8"?>
<sst xmlns="http://schemas.openxmlformats.org/spreadsheetml/2006/main" count="180" uniqueCount="149">
  <si>
    <t>Unit of Service</t>
  </si>
  <si>
    <t>Annual</t>
  </si>
  <si>
    <t>Monthly</t>
  </si>
  <si>
    <t>Original</t>
  </si>
  <si>
    <t>Direct Support Staff Wages and Benefits</t>
  </si>
  <si>
    <t>Employer Benefit Package Rate</t>
  </si>
  <si>
    <t xml:space="preserve"> - Workers Compensation Percentage</t>
  </si>
  <si>
    <t>Payroll Tax Rate</t>
  </si>
  <si>
    <t xml:space="preserve">Productivity Adjustments </t>
  </si>
  <si>
    <t>Total Hours</t>
  </si>
  <si>
    <t xml:space="preserve"> - Travel Time Between Individuals</t>
  </si>
  <si>
    <t xml:space="preserve"> - Record Keeping and Reporting</t>
  </si>
  <si>
    <t xml:space="preserve"> - Supervision and Other Employee Time</t>
  </si>
  <si>
    <t xml:space="preserve"> - Training</t>
  </si>
  <si>
    <t xml:space="preserve"> - Paid Time Off (10 Vacation/8 Sick/10 Holiday =  224 hrs.)</t>
  </si>
  <si>
    <t>"Billable" Hours</t>
  </si>
  <si>
    <t>Productivity Factor</t>
  </si>
  <si>
    <t>Staff Cost After Productivity Adj. per Billable Hour</t>
  </si>
  <si>
    <t>Burns used round 1.24% not 1.2357%</t>
  </si>
  <si>
    <t>Mileage</t>
  </si>
  <si>
    <t>Number of Miles Traveled Per Week</t>
  </si>
  <si>
    <t>Amount per Mile</t>
  </si>
  <si>
    <t>Weekly Mileage Cost</t>
  </si>
  <si>
    <t>Mileage Cost per Billable Hour</t>
  </si>
  <si>
    <t>Supervision</t>
  </si>
  <si>
    <t>Percentage Increase in Burns' Study</t>
  </si>
  <si>
    <t>Original Direct Staff and Supervisor Wages: (21.04-14.89)/14.89</t>
  </si>
  <si>
    <t xml:space="preserve"> - Supervisor Wage (Hourly)</t>
  </si>
  <si>
    <t>41.03% Ratio Locked in</t>
  </si>
  <si>
    <t>Weekly Supervision Cost</t>
  </si>
  <si>
    <t xml:space="preserve"> - Number of Direct Staff Supervised</t>
  </si>
  <si>
    <t>Supervision Cost per Billable Hour</t>
  </si>
  <si>
    <t>Multiply by Service hours</t>
  </si>
  <si>
    <t>Admin. And Prog. Operations</t>
  </si>
  <si>
    <t>Cost per Hour, Before Program Operations &amp; Admin</t>
  </si>
  <si>
    <t>Sum of difference above</t>
  </si>
  <si>
    <t>Daily Program Operation Costs</t>
  </si>
  <si>
    <t>Program Operations Cost per Billable Hour</t>
  </si>
  <si>
    <t>Administration Percent</t>
  </si>
  <si>
    <t>21-1015</t>
  </si>
  <si>
    <t>Rehabilitation Counselor</t>
  </si>
  <si>
    <t>Administration Cost per Billable Hour</t>
  </si>
  <si>
    <t>Simply 12% times the $. $.09</t>
  </si>
  <si>
    <t>21-1093</t>
  </si>
  <si>
    <t>Social and Human Service Assistant</t>
  </si>
  <si>
    <t>Difference between $34.79 &amp; $34.89</t>
  </si>
  <si>
    <t>25-3097</t>
  </si>
  <si>
    <t>Teachers &amp; Instructors</t>
  </si>
  <si>
    <t>Weighted Average</t>
  </si>
  <si>
    <t>Burns &amp; Associates 
Base Model 2019</t>
  </si>
  <si>
    <t>Burns &amp; Associates 
Base Model 2022</t>
  </si>
  <si>
    <t>Hourly Staff Cost Before Productivity Adj. (wages+benefits)</t>
  </si>
  <si>
    <t xml:space="preserve"> - Supervisor Benefit Rate (as a percent of wages)</t>
  </si>
  <si>
    <t xml:space="preserve"> - Workers Compensation Percentage  (as a percent of wages)</t>
  </si>
  <si>
    <t>Burns &amp; Associates 
Base Model 
Changes</t>
  </si>
  <si>
    <t>`</t>
  </si>
  <si>
    <t>Percent of Direct Care Staff Working Full Time</t>
  </si>
  <si>
    <t>Number of Miles Adjusted for Mix of FT and PT Staff</t>
  </si>
  <si>
    <r>
      <t xml:space="preserve"> - Direct Staff Wage (Hourly) (</t>
    </r>
    <r>
      <rPr>
        <sz val="11"/>
        <color rgb="FF0070C0"/>
        <rFont val="Calibri"/>
        <family val="2"/>
        <scheme val="minor"/>
      </rPr>
      <t>Proposed</t>
    </r>
    <r>
      <rPr>
        <sz val="11"/>
        <rFont val="Calibri"/>
        <family val="2"/>
        <scheme val="minor"/>
      </rPr>
      <t>)</t>
    </r>
  </si>
  <si>
    <t>CCLN Proposed Adjustment
Direct Staff Increase</t>
  </si>
  <si>
    <t>BLS Source</t>
  </si>
  <si>
    <t>https://www.bls.gov/oes/2019/may/oes253097.htm#(2)</t>
  </si>
  <si>
    <t>Rate per Billable Hour</t>
  </si>
  <si>
    <t xml:space="preserve"> -Number of Individuals Served</t>
  </si>
  <si>
    <t>Hours Per Month</t>
  </si>
  <si>
    <t>Base Rate</t>
  </si>
  <si>
    <t>Total Per Month</t>
  </si>
  <si>
    <t>Independent Living Skills</t>
  </si>
  <si>
    <t>Change in Hours &amp; Dollars</t>
  </si>
  <si>
    <t>Percent Increase Change</t>
  </si>
  <si>
    <t>Per 100 Persons</t>
  </si>
  <si>
    <t>Total Per Year</t>
  </si>
  <si>
    <t>Per 1000 Persons</t>
  </si>
  <si>
    <t>BLS Labor Code</t>
  </si>
  <si>
    <t>Title</t>
  </si>
  <si>
    <t>Weight</t>
  </si>
  <si>
    <t>Mean (Average)</t>
  </si>
  <si>
    <t>BLS Data 2019</t>
  </si>
  <si>
    <t>BLS Data 2021</t>
  </si>
  <si>
    <t>Median (50 Percentile)</t>
  </si>
  <si>
    <t>https://www.bls.gov/oes/2019/may/oes_ca.htm#21-0000</t>
  </si>
  <si>
    <t>Original Rate Study Calculation</t>
  </si>
  <si>
    <t>2022 Revised Rate Study Calculation</t>
  </si>
  <si>
    <t>Page 79</t>
  </si>
  <si>
    <t>Example of Cost Increases When ILS Clients Shift to SLS Services</t>
  </si>
  <si>
    <t>Independent Living Proposed Adjustment</t>
  </si>
  <si>
    <t>California Community Living Network</t>
  </si>
  <si>
    <t>Burns &amp; Associates Chosen Occupations</t>
  </si>
  <si>
    <t>ILS Occupational Roles</t>
  </si>
  <si>
    <t>Assist in Service Plan Development</t>
  </si>
  <si>
    <t>Lesson Plan Development</t>
  </si>
  <si>
    <t>Outcome-based training</t>
  </si>
  <si>
    <t>Progress Documentation</t>
  </si>
  <si>
    <t>Assessment of Client's Skill Development</t>
  </si>
  <si>
    <t>Maintaining Client Skill Retention</t>
  </si>
  <si>
    <t>Crisis intervention</t>
  </si>
  <si>
    <t>Budget management</t>
  </si>
  <si>
    <t>Facilitating healthcare protocols</t>
  </si>
  <si>
    <t>Facilitating mental health protocols</t>
  </si>
  <si>
    <t>Facilitating forensic protocols</t>
  </si>
  <si>
    <t>Home Health Aides</t>
  </si>
  <si>
    <t>Psychiatric Aides</t>
  </si>
  <si>
    <t>Personal Care Aides</t>
  </si>
  <si>
    <t>Recreation Workers</t>
  </si>
  <si>
    <t>x</t>
  </si>
  <si>
    <t>Social &amp; Human Service Assistants</t>
  </si>
  <si>
    <t>Comparison of Occupations and ILS Occupational Roles</t>
  </si>
  <si>
    <t>Rate Calculation Comparison</t>
  </si>
  <si>
    <t>Burns &amp; Associates Data</t>
  </si>
  <si>
    <t>Comparison of Occupations</t>
  </si>
  <si>
    <t>Bureau of Labor Adjusted Wage Rate</t>
  </si>
  <si>
    <t>Table of Contents</t>
  </si>
  <si>
    <r>
      <t xml:space="preserve">The following schedule compares the original Rate Study rate calculation to the 2022 adjusted model. CCLN's proposed wage adjustment </t>
    </r>
    <r>
      <rPr>
        <i/>
        <sz val="14"/>
        <color theme="1"/>
        <rFont val="Century Gothic"/>
        <family val="2"/>
      </rPr>
      <t xml:space="preserve">only changes the occupations--all other methodologies have not be touched. </t>
    </r>
    <r>
      <rPr>
        <sz val="14"/>
        <color theme="1"/>
        <rFont val="Century Gothic"/>
        <family val="2"/>
      </rPr>
      <t xml:space="preserve">This includes using the median wage information, not the average. The Supervisor Wage was increased to match the ratio of DSP to Supervisor consistent with the 2022 Rate Study revision.
</t>
    </r>
    <r>
      <rPr>
        <b/>
        <sz val="14"/>
        <color theme="1"/>
        <rFont val="Century Gothic"/>
        <family val="2"/>
      </rPr>
      <t>The new rate in the final column is $51.19 per hour.</t>
    </r>
    <r>
      <rPr>
        <sz val="14"/>
        <color theme="1"/>
        <rFont val="Century Gothic"/>
        <family val="2"/>
      </rPr>
      <t xml:space="preserve"> 
CCLN would like to note that the unexplained lowing of the DSP benefit rate by 3.2% runs counter to all available data. With inflation at 8%, we suggest returning all rate calculations to the 26.4% included in the original rate study.</t>
    </r>
  </si>
  <si>
    <t>Navigating social service offerings</t>
  </si>
  <si>
    <t>Supported Living Service</t>
  </si>
  <si>
    <t>Supported Living Services</t>
  </si>
  <si>
    <t>Cost Per Person</t>
  </si>
  <si>
    <t>Persons Served</t>
  </si>
  <si>
    <t>Additional Cost Per Person for SLS vs. ILS</t>
  </si>
  <si>
    <t>*LAO Correspondence</t>
  </si>
  <si>
    <t>Actual Costs 2021*</t>
  </si>
  <si>
    <t>Total Price</t>
  </si>
  <si>
    <t>CCLN</t>
  </si>
  <si>
    <t xml:space="preserve">Even assuming ILS service users switching to SLS services only use one third of the average hours used by SLS clients, these SLS services would still cost 136% more that ILS services. Even when CCLN's proposed rate increase is included. </t>
  </si>
  <si>
    <t>Cost Comparison: ILS costs less per month than SLS</t>
  </si>
  <si>
    <t>Fixing the Rate Study Mismatch</t>
  </si>
  <si>
    <t xml:space="preserve">Step </t>
  </si>
  <si>
    <t>❶</t>
  </si>
  <si>
    <t>❷</t>
  </si>
  <si>
    <t>Now that we have the right occupations, we can recalculate the wage needed to recruit and retain ILS instructors. CCLN uses the same data source as the Rate Study: the California Bureau of Labor</t>
  </si>
  <si>
    <t>Bureau of Labor Wage Data of Similar Occupations to Independent Living Skills Instructor</t>
  </si>
  <si>
    <t>❸</t>
  </si>
  <si>
    <t>❹</t>
  </si>
  <si>
    <t xml:space="preserve">Data from the Rate Study for Reference </t>
  </si>
  <si>
    <t>Cost Comparison</t>
  </si>
  <si>
    <t>First we match the right occupations with ILS Instructor's services</t>
  </si>
  <si>
    <t>Then we recalculate the wage needed to recruite and retain ILS Instructors</t>
  </si>
  <si>
    <t>After getting the right wage, we plug the new wage into the Rate Sudy Model to get the right rate.</t>
  </si>
  <si>
    <t>Using the new rate, we compare ILS costs to SLS costs, showing ILS is still cheaper per service user.</t>
  </si>
  <si>
    <t>As a reference, we provide the original pages for the ILS rates from the Rate Study.</t>
  </si>
  <si>
    <t>Fixing the Rate Study ILS MisMatch</t>
  </si>
  <si>
    <t>Mark Melanson</t>
  </si>
  <si>
    <t>mark@supportedliving.com</t>
  </si>
  <si>
    <t>June 17, 2022</t>
  </si>
  <si>
    <r>
      <rPr>
        <b/>
        <sz val="11"/>
        <color theme="1"/>
        <rFont val="Calibri"/>
        <family val="2"/>
        <scheme val="minor"/>
      </rPr>
      <t xml:space="preserve">CCLN recommends adjusting the ILS rate to the Base Model Rate of $51.19. </t>
    </r>
    <r>
      <rPr>
        <sz val="11"/>
        <color theme="1"/>
        <rFont val="Calibri"/>
        <family val="2"/>
        <scheme val="minor"/>
      </rPr>
      <t xml:space="preserve">
The following schedules and charts provide a solution to the growing number of ILS programs that are closing due to the unsustainable rate assigned to this service by the Rate Study. Unfortunately, the 2022 modifications do not address the unsustainably low rate for ILS. The program closures lower the independence and quality of life for individuals who are forced into Supported Living Services, where there is less emphasis on training to live with minimal service supports. The State will also spend much more money on each person because of the increased number of hours used in Support Living. The number of SLS hours used will at least triple of ILS hours, costing the State tens of millions of dollars annually.
The basis for the increase in the rate is the fact that an ILS Instructor is a teacher, a social service worker, and a rehabilitation counselor. The occupations Burns and Associates chose for its calculation of the ILS rate are personal assistants. ILS instructors are trainers, training persons to do things for themselves--not aides who perform and assist persons in tasks. To recruit and retain ILS Instructors, agencies need to pay wages that compete with other employers' wage offers for similar jobs. Please see the charts in this document and CCLN's April 2022 letter that supports this rate adjustment. We go through the adjustment step by step.</t>
    </r>
  </si>
  <si>
    <t xml:space="preserve">The Rate Study matches ILS instructors to personal attendant workers who are paid lower than Instructors and counselors. CCLN used the same data source (Bureau of Labor) to match ILS instructors with similar Californian instructors and counselor positions. </t>
  </si>
  <si>
    <t xml:space="preserve">We then plug the new wage, $20.74 per hour, into the Burns and Associates rate model to get the new rate. A side-by-side comparison shows that CCLN has created an exact replica of the model and used it to recalculate the rate. CCLN's proposed rate is $51.19 per hour. </t>
  </si>
  <si>
    <t xml:space="preserve">This data from the Legislative Analyst Office shows how the average SLS service per individual is nine times as expensive than ILS. When persons with IDD can learn independent living skills and receive that training, costs go down and quality of life goes up. </t>
  </si>
  <si>
    <t xml:space="preserve">The cost of ILS is higher per hour, but lower overall due to the small numbers of hours ILS clients use each month.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</si>
</sst>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0000_);_(&quot;$&quot;* \(#,##0.0000\);_(&quot;$&quot;* &quot;-&quot;??_);_(@_)"/>
    <numFmt numFmtId="165" formatCode="#,##0.000_);\(#,##0.000\)"/>
    <numFmt numFmtId="166" formatCode="_(&quot;$&quot;* #,##0.000_);_(&quot;$&quot;* \(#,##0.000\);_(&quot;$&quot;* &quot;-&quot;??_);_(@_)"/>
    <numFmt numFmtId="167" formatCode="0.000"/>
    <numFmt numFmtId="168" formatCode="_(&quot;$&quot;* #,##0_);_(&quot;$&quot;* \(#,##0\);_(&quot;$&quot;* &quot;-&quot;??_);_(@_)"/>
    <numFmt numFmtId="169" formatCode="_(* #,##0_);_(* \(#,##0\);_(* &quot;-&quot;??_);_(@_)"/>
  </numFmts>
  <fonts count="3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sz val="11"/>
      <color rgb="FF0070C0"/>
      <name val="Calibri"/>
      <family val="2"/>
      <scheme val="minor"/>
    </font>
    <font>
      <sz val="11"/>
      <color rgb="FF0070C0"/>
      <name val="Calibri"/>
      <family val="2"/>
      <scheme val="minor"/>
    </font>
    <font>
      <b/>
      <sz val="11"/>
      <color theme="4" tint="-0.499984740745262"/>
      <name val="Calibri"/>
      <family val="2"/>
      <scheme val="minor"/>
    </font>
    <font>
      <b/>
      <sz val="10"/>
      <color theme="4" tint="-0.499984740745262"/>
      <name val="Calibri"/>
      <family val="2"/>
      <scheme val="minor"/>
    </font>
    <font>
      <sz val="11"/>
      <color theme="4" tint="-0.499984740745262"/>
      <name val="Calibri"/>
      <family val="2"/>
      <scheme val="minor"/>
    </font>
    <font>
      <sz val="10"/>
      <color theme="4" tint="-0.499984740745262"/>
      <name val="Calibri"/>
      <family val="2"/>
      <scheme val="minor"/>
    </font>
    <font>
      <sz val="11"/>
      <name val="Calibri"/>
      <family val="2"/>
      <scheme val="minor"/>
    </font>
    <font>
      <sz val="11"/>
      <color rgb="FFC00000"/>
      <name val="Calibri"/>
      <family val="2"/>
      <scheme val="minor"/>
    </font>
    <font>
      <b/>
      <sz val="20"/>
      <color theme="1"/>
      <name val="Century Gothic"/>
      <family val="2"/>
    </font>
    <font>
      <b/>
      <sz val="11"/>
      <name val="Calibri"/>
      <family val="2"/>
      <scheme val="minor"/>
    </font>
    <font>
      <b/>
      <sz val="11"/>
      <color theme="1"/>
      <name val="Century Gothic"/>
      <family val="2"/>
    </font>
    <font>
      <b/>
      <sz val="14"/>
      <color theme="1"/>
      <name val="Century Gothic"/>
      <family val="2"/>
    </font>
    <font>
      <sz val="14"/>
      <color theme="1"/>
      <name val="Century Gothic"/>
      <family val="2"/>
    </font>
    <font>
      <i/>
      <sz val="14"/>
      <color theme="1"/>
      <name val="Century Gothic"/>
      <family val="2"/>
    </font>
    <font>
      <b/>
      <sz val="12"/>
      <color theme="1"/>
      <name val="Calibri"/>
      <family val="2"/>
      <scheme val="minor"/>
    </font>
    <font>
      <sz val="20"/>
      <color theme="1"/>
      <name val="Century Gothic"/>
      <family val="2"/>
    </font>
    <font>
      <sz val="24"/>
      <color theme="1"/>
      <name val="Century Gothic"/>
      <family val="2"/>
    </font>
    <font>
      <b/>
      <sz val="12"/>
      <color theme="1"/>
      <name val="Century Gothic"/>
      <family val="2"/>
    </font>
    <font>
      <b/>
      <sz val="11"/>
      <color theme="1"/>
      <name val="Arial Nova"/>
      <family val="2"/>
    </font>
    <font>
      <sz val="16"/>
      <color theme="1"/>
      <name val="Calibri"/>
      <family val="2"/>
      <scheme val="minor"/>
    </font>
    <font>
      <sz val="16"/>
      <color theme="4" tint="-0.499984740745262"/>
      <name val="Calibri"/>
      <family val="2"/>
      <scheme val="minor"/>
    </font>
    <font>
      <sz val="18"/>
      <color theme="1"/>
      <name val="Century Gothic"/>
      <family val="2"/>
    </font>
    <font>
      <b/>
      <sz val="18"/>
      <color theme="1"/>
      <name val="Century Gothic"/>
      <family val="2"/>
    </font>
    <font>
      <b/>
      <sz val="18"/>
      <color theme="4" tint="-0.499984740745262"/>
      <name val="Century Gothic"/>
      <family val="2"/>
    </font>
    <font>
      <sz val="20"/>
      <color theme="4" tint="-0.499984740745262"/>
      <name val="Calibri"/>
      <family val="2"/>
    </font>
    <font>
      <sz val="18"/>
      <color theme="4" tint="-0.499984740745262"/>
      <name val="Calibri"/>
      <family val="2"/>
      <scheme val="minor"/>
    </font>
    <font>
      <sz val="16"/>
      <color theme="1"/>
      <name val="Century Gothic"/>
      <family val="2"/>
    </font>
    <font>
      <sz val="9"/>
      <color theme="1"/>
      <name val="Century Gothic"/>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indexed="64"/>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35">
    <xf numFmtId="0" fontId="0" fillId="0" borderId="0" xfId="0"/>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0" fillId="0" borderId="0" xfId="0" applyAlignment="1">
      <alignment horizontal="center" vertical="center"/>
    </xf>
    <xf numFmtId="44" fontId="0" fillId="0" borderId="0" xfId="0" applyNumberFormat="1"/>
    <xf numFmtId="0" fontId="0" fillId="0" borderId="3" xfId="0" applyBorder="1"/>
    <xf numFmtId="44" fontId="0" fillId="3" borderId="3" xfId="0" applyNumberFormat="1" applyFill="1" applyBorder="1" applyProtection="1">
      <protection locked="0"/>
    </xf>
    <xf numFmtId="10" fontId="0" fillId="3" borderId="3" xfId="0" applyNumberFormat="1" applyFill="1" applyBorder="1" applyProtection="1">
      <protection locked="0"/>
    </xf>
    <xf numFmtId="10" fontId="0" fillId="0" borderId="0" xfId="0" applyNumberFormat="1"/>
    <xf numFmtId="44" fontId="5" fillId="0" borderId="0" xfId="0" applyNumberFormat="1" applyFont="1"/>
    <xf numFmtId="10" fontId="0" fillId="3" borderId="3" xfId="2" applyNumberFormat="1" applyFont="1" applyFill="1" applyBorder="1" applyProtection="1">
      <protection locked="0"/>
    </xf>
    <xf numFmtId="10" fontId="0" fillId="0" borderId="0" xfId="2" applyNumberFormat="1" applyFont="1"/>
    <xf numFmtId="44" fontId="0" fillId="0" borderId="3" xfId="0" applyNumberFormat="1" applyBorder="1"/>
    <xf numFmtId="0" fontId="5" fillId="0" borderId="3" xfId="0" applyFont="1" applyBorder="1"/>
    <xf numFmtId="39" fontId="0" fillId="0" borderId="3" xfId="0" applyNumberFormat="1" applyBorder="1"/>
    <xf numFmtId="39" fontId="0" fillId="0" borderId="0" xfId="0" applyNumberFormat="1"/>
    <xf numFmtId="39" fontId="0" fillId="3" borderId="3" xfId="0" applyNumberFormat="1" applyFill="1" applyBorder="1" applyProtection="1">
      <protection locked="0"/>
    </xf>
    <xf numFmtId="164" fontId="0" fillId="0" borderId="0" xfId="0" applyNumberFormat="1"/>
    <xf numFmtId="165" fontId="0" fillId="0" borderId="3" xfId="0" applyNumberFormat="1" applyBorder="1"/>
    <xf numFmtId="39" fontId="2" fillId="0" borderId="0" xfId="0" applyNumberFormat="1" applyFont="1"/>
    <xf numFmtId="44" fontId="2" fillId="0" borderId="0" xfId="0" applyNumberFormat="1" applyFont="1"/>
    <xf numFmtId="0" fontId="2" fillId="0" borderId="0" xfId="0" applyFont="1"/>
    <xf numFmtId="0" fontId="3" fillId="0" borderId="1" xfId="0" applyFont="1" applyBorder="1"/>
    <xf numFmtId="44" fontId="3" fillId="0" borderId="1" xfId="0" applyNumberFormat="1" applyFont="1" applyBorder="1"/>
    <xf numFmtId="166" fontId="6" fillId="0" borderId="0" xfId="0" applyNumberFormat="1" applyFont="1"/>
    <xf numFmtId="0" fontId="6" fillId="0" borderId="0" xfId="0" applyFont="1"/>
    <xf numFmtId="0" fontId="3" fillId="0" borderId="0" xfId="0" applyFont="1"/>
    <xf numFmtId="0" fontId="7" fillId="0" borderId="0" xfId="0" applyFont="1"/>
    <xf numFmtId="0" fontId="0" fillId="0" borderId="2" xfId="0" applyBorder="1"/>
    <xf numFmtId="37" fontId="0" fillId="3" borderId="3" xfId="0" applyNumberFormat="1" applyFill="1" applyBorder="1"/>
    <xf numFmtId="166" fontId="6" fillId="0" borderId="4" xfId="0" applyNumberFormat="1" applyFont="1" applyBorder="1"/>
    <xf numFmtId="166" fontId="0" fillId="0" borderId="0" xfId="0" applyNumberFormat="1"/>
    <xf numFmtId="44" fontId="3" fillId="0" borderId="3" xfId="0" applyNumberFormat="1" applyFont="1" applyBorder="1"/>
    <xf numFmtId="0" fontId="3" fillId="0" borderId="3" xfId="0" applyFont="1" applyBorder="1"/>
    <xf numFmtId="44" fontId="6" fillId="0" borderId="0" xfId="0" applyNumberFormat="1" applyFont="1"/>
    <xf numFmtId="0" fontId="12" fillId="0" borderId="2" xfId="0" applyFont="1" applyBorder="1"/>
    <xf numFmtId="0" fontId="12" fillId="0" borderId="3" xfId="0" applyFont="1" applyBorder="1"/>
    <xf numFmtId="44" fontId="12" fillId="0" borderId="2" xfId="1" applyFont="1" applyBorder="1"/>
    <xf numFmtId="44" fontId="0" fillId="0" borderId="3" xfId="1" applyFont="1" applyBorder="1"/>
    <xf numFmtId="0" fontId="0" fillId="3" borderId="3" xfId="0" applyFill="1" applyBorder="1"/>
    <xf numFmtId="0" fontId="3" fillId="0" borderId="3" xfId="0" applyFont="1" applyBorder="1" applyAlignment="1">
      <alignment horizontal="center" vertical="center"/>
    </xf>
    <xf numFmtId="0" fontId="0" fillId="0" borderId="0" xfId="0" applyBorder="1" applyAlignment="1">
      <alignment horizontal="center" vertical="center" wrapText="1"/>
    </xf>
    <xf numFmtId="0" fontId="0" fillId="2" borderId="0" xfId="0" applyFont="1" applyFill="1"/>
    <xf numFmtId="0" fontId="0" fillId="0" borderId="3" xfId="0" quotePrefix="1" applyFont="1" applyBorder="1" applyAlignment="1">
      <alignment horizontal="left" vertical="center"/>
    </xf>
    <xf numFmtId="0" fontId="0" fillId="0" borderId="0" xfId="0" applyFont="1" applyBorder="1" applyAlignment="1">
      <alignment horizontal="center" vertical="center" wrapText="1"/>
    </xf>
    <xf numFmtId="0" fontId="0" fillId="0" borderId="0" xfId="0" applyFont="1" applyAlignment="1">
      <alignment horizontal="center" vertical="center"/>
    </xf>
    <xf numFmtId="0" fontId="0" fillId="0" borderId="0" xfId="0" applyFont="1"/>
    <xf numFmtId="167" fontId="0" fillId="0" borderId="3" xfId="0" applyNumberFormat="1" applyBorder="1"/>
    <xf numFmtId="9" fontId="0" fillId="3" borderId="0" xfId="2" applyFont="1" applyFill="1" applyBorder="1" applyAlignment="1">
      <alignment horizontal="center" vertical="center" wrapText="1"/>
    </xf>
    <xf numFmtId="44" fontId="12" fillId="3" borderId="2" xfId="1" applyFont="1" applyFill="1" applyBorder="1"/>
    <xf numFmtId="0" fontId="0" fillId="2" borderId="3" xfId="0" applyFill="1" applyBorder="1"/>
    <xf numFmtId="37" fontId="0" fillId="2" borderId="3" xfId="0" applyNumberFormat="1" applyFill="1" applyBorder="1"/>
    <xf numFmtId="166" fontId="0" fillId="3" borderId="3" xfId="0" applyNumberFormat="1" applyFill="1" applyBorder="1" applyProtection="1">
      <protection locked="0"/>
    </xf>
    <xf numFmtId="44" fontId="12" fillId="0" borderId="2" xfId="0" applyNumberFormat="1" applyFont="1" applyBorder="1"/>
    <xf numFmtId="10" fontId="12" fillId="0" borderId="2" xfId="2" applyNumberFormat="1" applyFont="1" applyBorder="1"/>
    <xf numFmtId="167" fontId="0" fillId="3" borderId="3" xfId="0" applyNumberFormat="1" applyFill="1" applyBorder="1"/>
    <xf numFmtId="44" fontId="12" fillId="3" borderId="2" xfId="0" applyNumberFormat="1" applyFont="1" applyFill="1" applyBorder="1"/>
    <xf numFmtId="10" fontId="12" fillId="3" borderId="2" xfId="2" applyNumberFormat="1" applyFont="1" applyFill="1" applyBorder="1"/>
    <xf numFmtId="10" fontId="13" fillId="3" borderId="2" xfId="2" applyNumberFormat="1" applyFont="1" applyFill="1" applyBorder="1"/>
    <xf numFmtId="167" fontId="13" fillId="0" borderId="3" xfId="0" applyNumberFormat="1" applyFont="1" applyBorder="1"/>
    <xf numFmtId="167" fontId="13" fillId="3" borderId="3" xfId="0" applyNumberFormat="1" applyFont="1" applyFill="1" applyBorder="1"/>
    <xf numFmtId="167" fontId="12" fillId="0" borderId="3" xfId="0" applyNumberFormat="1" applyFont="1" applyBorder="1"/>
    <xf numFmtId="167" fontId="12" fillId="3" borderId="3" xfId="0" applyNumberFormat="1" applyFont="1" applyFill="1" applyBorder="1"/>
    <xf numFmtId="44" fontId="12" fillId="3" borderId="3" xfId="0" applyNumberFormat="1" applyFont="1" applyFill="1" applyBorder="1" applyProtection="1">
      <protection locked="0"/>
    </xf>
    <xf numFmtId="2" fontId="0" fillId="0" borderId="3" xfId="0" applyNumberFormat="1" applyBorder="1"/>
    <xf numFmtId="9" fontId="0" fillId="3" borderId="3" xfId="2" applyFont="1" applyFill="1" applyBorder="1"/>
    <xf numFmtId="0" fontId="3" fillId="0" borderId="0" xfId="0" applyFont="1" applyBorder="1"/>
    <xf numFmtId="44" fontId="3" fillId="0" borderId="0" xfId="0" applyNumberFormat="1" applyFont="1" applyBorder="1"/>
    <xf numFmtId="2" fontId="3" fillId="0" borderId="0" xfId="0" applyNumberFormat="1" applyFont="1" applyBorder="1"/>
    <xf numFmtId="0" fontId="3" fillId="0" borderId="5" xfId="0" applyFont="1" applyBorder="1"/>
    <xf numFmtId="166" fontId="6" fillId="0" borderId="0" xfId="0" applyNumberFormat="1" applyFont="1" applyBorder="1"/>
    <xf numFmtId="0" fontId="0" fillId="0" borderId="0" xfId="0" applyAlignment="1">
      <alignment horizontal="center" vertical="center" wrapText="1"/>
    </xf>
    <xf numFmtId="0" fontId="14" fillId="0" borderId="0" xfId="0" applyFont="1"/>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21" xfId="0" applyBorder="1"/>
    <xf numFmtId="168" fontId="0" fillId="0" borderId="21" xfId="0" applyNumberFormat="1" applyBorder="1"/>
    <xf numFmtId="168" fontId="0" fillId="0" borderId="22" xfId="0" applyNumberFormat="1" applyBorder="1"/>
    <xf numFmtId="44" fontId="0" fillId="0" borderId="21" xfId="0" applyNumberFormat="1" applyBorder="1"/>
    <xf numFmtId="9" fontId="0" fillId="0" borderId="24" xfId="2" applyFont="1" applyBorder="1"/>
    <xf numFmtId="9" fontId="0" fillId="0" borderId="25" xfId="2" applyFont="1" applyBorder="1"/>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xf numFmtId="0" fontId="3" fillId="0" borderId="23" xfId="0" applyFont="1" applyBorder="1"/>
    <xf numFmtId="0" fontId="3" fillId="0" borderId="26" xfId="0" applyFont="1" applyBorder="1" applyAlignment="1">
      <alignment horizontal="center" vertical="center"/>
    </xf>
    <xf numFmtId="0" fontId="0" fillId="0" borderId="10" xfId="0" applyBorder="1" applyAlignment="1">
      <alignment horizontal="center" vertical="center" wrapText="1"/>
    </xf>
    <xf numFmtId="9" fontId="0" fillId="3" borderId="10" xfId="2" applyFont="1" applyFill="1" applyBorder="1" applyAlignment="1">
      <alignment horizontal="center" vertical="center" wrapText="1"/>
    </xf>
    <xf numFmtId="44" fontId="7" fillId="3" borderId="29" xfId="0" applyNumberFormat="1" applyFont="1" applyFill="1" applyBorder="1" applyProtection="1">
      <protection locked="0"/>
    </xf>
    <xf numFmtId="10" fontId="0" fillId="3" borderId="30" xfId="0" applyNumberFormat="1" applyFill="1" applyBorder="1" applyProtection="1">
      <protection locked="0"/>
    </xf>
    <xf numFmtId="10" fontId="0" fillId="3" borderId="30" xfId="2" applyNumberFormat="1" applyFont="1" applyFill="1" applyBorder="1" applyProtection="1">
      <protection locked="0"/>
    </xf>
    <xf numFmtId="44" fontId="0" fillId="0" borderId="30" xfId="0" applyNumberFormat="1" applyBorder="1"/>
    <xf numFmtId="167" fontId="0" fillId="0" borderId="30" xfId="0" applyNumberFormat="1" applyBorder="1"/>
    <xf numFmtId="0" fontId="5" fillId="0" borderId="30" xfId="0" applyFont="1" applyBorder="1"/>
    <xf numFmtId="39" fontId="0" fillId="3" borderId="30" xfId="0" applyNumberFormat="1" applyFill="1" applyBorder="1" applyProtection="1">
      <protection locked="0"/>
    </xf>
    <xf numFmtId="165" fontId="0" fillId="0" borderId="30" xfId="0" applyNumberFormat="1" applyBorder="1"/>
    <xf numFmtId="39" fontId="0" fillId="0" borderId="30" xfId="0" applyNumberFormat="1" applyBorder="1"/>
    <xf numFmtId="0" fontId="0" fillId="0" borderId="30" xfId="0" applyBorder="1"/>
    <xf numFmtId="44" fontId="3" fillId="0" borderId="32" xfId="0" applyNumberFormat="1" applyFont="1" applyBorder="1"/>
    <xf numFmtId="0" fontId="0" fillId="0" borderId="29" xfId="0" applyBorder="1"/>
    <xf numFmtId="37" fontId="0" fillId="3" borderId="30" xfId="0" applyNumberFormat="1" applyFill="1" applyBorder="1"/>
    <xf numFmtId="37" fontId="0" fillId="2" borderId="30" xfId="0" applyNumberFormat="1" applyFill="1" applyBorder="1"/>
    <xf numFmtId="166" fontId="0" fillId="3" borderId="30" xfId="0" applyNumberFormat="1" applyFill="1" applyBorder="1" applyProtection="1">
      <protection locked="0"/>
    </xf>
    <xf numFmtId="10" fontId="12" fillId="0" borderId="29" xfId="2" applyNumberFormat="1" applyFont="1" applyBorder="1"/>
    <xf numFmtId="44" fontId="12" fillId="3" borderId="30" xfId="0" applyNumberFormat="1" applyFont="1" applyFill="1" applyBorder="1" applyProtection="1">
      <protection locked="0"/>
    </xf>
    <xf numFmtId="44" fontId="0" fillId="0" borderId="30" xfId="1" applyFont="1" applyBorder="1"/>
    <xf numFmtId="0" fontId="12" fillId="3" borderId="30" xfId="0" applyFont="1" applyFill="1" applyBorder="1"/>
    <xf numFmtId="44" fontId="15" fillId="0" borderId="32" xfId="0" applyNumberFormat="1" applyFont="1" applyBorder="1"/>
    <xf numFmtId="0" fontId="0" fillId="3" borderId="30" xfId="0" applyFill="1" applyBorder="1"/>
    <xf numFmtId="44" fontId="3" fillId="0" borderId="30" xfId="0" applyNumberFormat="1" applyFont="1" applyBorder="1"/>
    <xf numFmtId="0" fontId="3" fillId="0" borderId="9" xfId="0" applyFont="1" applyBorder="1" applyAlignment="1">
      <alignment horizontal="center" vertical="center" textRotation="90" wrapText="1"/>
    </xf>
    <xf numFmtId="0" fontId="0" fillId="0" borderId="33" xfId="0" applyBorder="1"/>
    <xf numFmtId="0" fontId="3" fillId="0" borderId="34" xfId="0" applyFont="1" applyBorder="1"/>
    <xf numFmtId="44" fontId="3" fillId="0" borderId="35" xfId="0" applyNumberFormat="1" applyFont="1" applyBorder="1"/>
    <xf numFmtId="2" fontId="3" fillId="0" borderId="35" xfId="0" applyNumberFormat="1" applyFont="1" applyBorder="1"/>
    <xf numFmtId="44" fontId="3" fillId="0" borderId="36" xfId="0" applyNumberFormat="1" applyFont="1" applyBorder="1"/>
    <xf numFmtId="0" fontId="0" fillId="2" borderId="37" xfId="0" applyFill="1" applyBorder="1"/>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17" fillId="0" borderId="0" xfId="0" applyFont="1"/>
    <xf numFmtId="0" fontId="20" fillId="0" borderId="5" xfId="0" applyFont="1" applyBorder="1" applyAlignment="1">
      <alignment horizontal="center" vertical="center" wrapText="1"/>
    </xf>
    <xf numFmtId="0" fontId="20" fillId="0" borderId="0" xfId="0" applyFont="1" applyBorder="1" applyAlignment="1">
      <alignment horizontal="center"/>
    </xf>
    <xf numFmtId="0" fontId="20" fillId="0" borderId="16" xfId="0" applyFont="1" applyBorder="1" applyAlignment="1">
      <alignment horizontal="center"/>
    </xf>
    <xf numFmtId="0" fontId="20" fillId="0" borderId="14" xfId="0" applyFont="1" applyBorder="1" applyAlignment="1">
      <alignment horizontal="center" vertical="center" wrapText="1"/>
    </xf>
    <xf numFmtId="0" fontId="20" fillId="0" borderId="4" xfId="0" applyFont="1" applyBorder="1" applyAlignment="1">
      <alignment horizontal="center"/>
    </xf>
    <xf numFmtId="0" fontId="20" fillId="0" borderId="15" xfId="0" applyFont="1" applyBorder="1" applyAlignment="1">
      <alignment horizontal="center"/>
    </xf>
    <xf numFmtId="0" fontId="20" fillId="0" borderId="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5" xfId="0" applyFont="1" applyBorder="1" applyAlignment="1">
      <alignment horizontal="center" vertical="center" wrapText="1"/>
    </xf>
    <xf numFmtId="0" fontId="0" fillId="0" borderId="1" xfId="0" applyBorder="1"/>
    <xf numFmtId="0" fontId="3" fillId="0" borderId="2" xfId="0" applyFont="1" applyBorder="1" applyAlignment="1">
      <alignment horizontal="center" vertical="center"/>
    </xf>
    <xf numFmtId="0" fontId="21" fillId="0" borderId="0" xfId="0" applyFont="1"/>
    <xf numFmtId="0" fontId="8" fillId="0" borderId="0" xfId="0" applyFont="1" applyFill="1" applyBorder="1" applyAlignment="1">
      <alignment horizontal="center" vertical="center" wrapText="1"/>
    </xf>
    <xf numFmtId="0" fontId="0" fillId="0" borderId="0" xfId="0" applyFill="1" applyBorder="1" applyAlignment="1">
      <alignment horizontal="center"/>
    </xf>
    <xf numFmtId="0" fontId="10" fillId="0" borderId="0" xfId="0" applyFont="1" applyFill="1" applyBorder="1"/>
    <xf numFmtId="0" fontId="11" fillId="0" borderId="0" xfId="0" applyFont="1" applyFill="1" applyBorder="1" applyAlignment="1">
      <alignment vertical="center"/>
    </xf>
    <xf numFmtId="9" fontId="10" fillId="0" borderId="0" xfId="2" applyFont="1" applyFill="1" applyBorder="1"/>
    <xf numFmtId="2" fontId="10" fillId="0" borderId="0" xfId="0" applyNumberFormat="1" applyFont="1" applyFill="1" applyBorder="1"/>
    <xf numFmtId="2" fontId="0" fillId="0" borderId="0" xfId="0" applyNumberFormat="1" applyFill="1" applyBorder="1" applyAlignment="1">
      <alignment horizontal="center"/>
    </xf>
    <xf numFmtId="0" fontId="0" fillId="0" borderId="0" xfId="0" applyFill="1"/>
    <xf numFmtId="0" fontId="0" fillId="0" borderId="11" xfId="0" applyFill="1" applyBorder="1"/>
    <xf numFmtId="0" fontId="0" fillId="0" borderId="12" xfId="0" applyFill="1" applyBorder="1"/>
    <xf numFmtId="0" fontId="0" fillId="0" borderId="5" xfId="0" applyFill="1" applyBorder="1"/>
    <xf numFmtId="0" fontId="10" fillId="0" borderId="5" xfId="0" applyFont="1" applyFill="1" applyBorder="1"/>
    <xf numFmtId="0" fontId="9" fillId="0" borderId="14" xfId="0" applyFont="1" applyFill="1" applyBorder="1" applyAlignment="1">
      <alignment vertical="center"/>
    </xf>
    <xf numFmtId="0" fontId="10" fillId="0" borderId="4" xfId="0" applyFont="1" applyFill="1" applyBorder="1"/>
    <xf numFmtId="0" fontId="8" fillId="0" borderId="4" xfId="0" applyFont="1" applyFill="1" applyBorder="1"/>
    <xf numFmtId="44" fontId="8" fillId="0" borderId="4" xfId="1" applyFont="1" applyFill="1" applyBorder="1"/>
    <xf numFmtId="0" fontId="0" fillId="2" borderId="4" xfId="0" applyFill="1" applyBorder="1"/>
    <xf numFmtId="0" fontId="11" fillId="0" borderId="16" xfId="0" applyFont="1" applyFill="1" applyBorder="1" applyAlignment="1">
      <alignment vertical="center"/>
    </xf>
    <xf numFmtId="0" fontId="0" fillId="2" borderId="15" xfId="0" applyFill="1" applyBorder="1"/>
    <xf numFmtId="0" fontId="8" fillId="0" borderId="12" xfId="0" applyFont="1" applyFill="1" applyBorder="1" applyAlignment="1">
      <alignment horizontal="center" vertical="center" wrapText="1"/>
    </xf>
    <xf numFmtId="0" fontId="23" fillId="0" borderId="0" xfId="0" applyFont="1"/>
    <xf numFmtId="0" fontId="3" fillId="0" borderId="0" xfId="0" applyFont="1" applyFill="1" applyBorder="1"/>
    <xf numFmtId="0" fontId="3" fillId="0" borderId="5" xfId="0" applyFont="1" applyFill="1" applyBorder="1"/>
    <xf numFmtId="169" fontId="0" fillId="0" borderId="0" xfId="3" applyNumberFormat="1" applyFont="1" applyBorder="1"/>
    <xf numFmtId="168" fontId="0" fillId="0" borderId="0" xfId="1" applyNumberFormat="1" applyFont="1" applyBorder="1"/>
    <xf numFmtId="0" fontId="3" fillId="0" borderId="40" xfId="0" applyFont="1" applyFill="1" applyBorder="1"/>
    <xf numFmtId="0" fontId="3" fillId="0" borderId="42" xfId="0" applyFont="1" applyBorder="1" applyAlignment="1">
      <alignment horizontal="center" vertical="center" wrapText="1"/>
    </xf>
    <xf numFmtId="0" fontId="3" fillId="0" borderId="41" xfId="0" applyFont="1" applyBorder="1" applyAlignment="1">
      <alignment horizontal="center" vertical="center" wrapText="1"/>
    </xf>
    <xf numFmtId="168" fontId="0" fillId="0" borderId="41" xfId="1" applyNumberFormat="1" applyFont="1" applyBorder="1"/>
    <xf numFmtId="169" fontId="0" fillId="0" borderId="41" xfId="3" applyNumberFormat="1" applyFont="1" applyBorder="1"/>
    <xf numFmtId="168" fontId="0" fillId="0" borderId="42" xfId="1" applyNumberFormat="1" applyFont="1" applyBorder="1"/>
    <xf numFmtId="9" fontId="0" fillId="0" borderId="0" xfId="2" applyFont="1" applyBorder="1"/>
    <xf numFmtId="0" fontId="3" fillId="0" borderId="43" xfId="0" applyFont="1" applyBorder="1" applyAlignment="1"/>
    <xf numFmtId="0" fontId="3" fillId="0" borderId="44" xfId="0" applyFont="1" applyBorder="1" applyAlignment="1"/>
    <xf numFmtId="43" fontId="0" fillId="0" borderId="0" xfId="3" applyFont="1"/>
    <xf numFmtId="0" fontId="27" fillId="0" borderId="0" xfId="0" applyFont="1"/>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vertical="center" wrapText="1"/>
    </xf>
    <xf numFmtId="0" fontId="29" fillId="0" borderId="0" xfId="0" applyFont="1" applyAlignment="1">
      <alignment horizontal="right" vertical="center"/>
    </xf>
    <xf numFmtId="0" fontId="30" fillId="0" borderId="0" xfId="0" applyFont="1" applyAlignment="1">
      <alignment horizontal="left" vertical="center" wrapText="1"/>
    </xf>
    <xf numFmtId="0" fontId="0" fillId="0" borderId="0" xfId="0" applyBorder="1"/>
    <xf numFmtId="44" fontId="0" fillId="0" borderId="0" xfId="0" applyNumberFormat="1" applyBorder="1"/>
    <xf numFmtId="168" fontId="24" fillId="0" borderId="0" xfId="0" applyNumberFormat="1" applyFont="1" applyBorder="1"/>
    <xf numFmtId="0" fontId="3" fillId="0" borderId="45" xfId="0" applyFont="1" applyBorder="1" applyAlignment="1"/>
    <xf numFmtId="168" fontId="0" fillId="0" borderId="16" xfId="1" applyNumberFormat="1" applyFont="1" applyBorder="1"/>
    <xf numFmtId="0" fontId="24" fillId="0" borderId="57" xfId="0" applyFont="1" applyFill="1" applyBorder="1"/>
    <xf numFmtId="169" fontId="24" fillId="0" borderId="38" xfId="3" applyNumberFormat="1" applyFont="1" applyBorder="1"/>
    <xf numFmtId="0" fontId="24" fillId="0" borderId="38" xfId="0" applyFont="1" applyBorder="1"/>
    <xf numFmtId="168" fontId="24" fillId="0" borderId="58" xfId="0" applyNumberFormat="1" applyFont="1" applyBorder="1"/>
    <xf numFmtId="0" fontId="4" fillId="0" borderId="0" xfId="0" applyFont="1"/>
    <xf numFmtId="0" fontId="32" fillId="0" borderId="0" xfId="0" applyFont="1"/>
    <xf numFmtId="0" fontId="33" fillId="0" borderId="0" xfId="0" applyFont="1"/>
    <xf numFmtId="0" fontId="33" fillId="0" borderId="0" xfId="0" applyFont="1" applyAlignment="1">
      <alignment horizontal="left" vertical="center"/>
    </xf>
    <xf numFmtId="15" fontId="18" fillId="0" borderId="0" xfId="0" quotePrefix="1" applyNumberFormat="1" applyFont="1"/>
    <xf numFmtId="0" fontId="0" fillId="0" borderId="0" xfId="0" applyAlignment="1">
      <alignment horizontal="left" vertical="center" wrapText="1"/>
    </xf>
    <xf numFmtId="0" fontId="22" fillId="0" borderId="0" xfId="0" applyFont="1" applyAlignment="1">
      <alignment horizont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31" fillId="0" borderId="46"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xf numFmtId="0" fontId="31" fillId="0" borderId="53" xfId="0" applyFont="1" applyBorder="1" applyAlignment="1">
      <alignment horizontal="center" vertical="center" wrapText="1"/>
    </xf>
    <xf numFmtId="0" fontId="3" fillId="0" borderId="28" xfId="0" applyFont="1" applyBorder="1" applyAlignment="1">
      <alignment horizontal="center" vertical="center" textRotation="90"/>
    </xf>
    <xf numFmtId="0" fontId="3" fillId="0" borderId="31" xfId="0" applyFont="1" applyBorder="1" applyAlignment="1">
      <alignment horizontal="center" vertical="center" textRotation="90"/>
    </xf>
    <xf numFmtId="0" fontId="3" fillId="0" borderId="27" xfId="0" applyFont="1" applyBorder="1" applyAlignment="1">
      <alignment horizontal="center" vertical="center" textRotation="90"/>
    </xf>
    <xf numFmtId="0" fontId="3" fillId="0" borderId="27" xfId="0" applyFont="1" applyBorder="1" applyAlignment="1">
      <alignment horizontal="center" vertical="center" textRotation="90" wrapText="1"/>
    </xf>
    <xf numFmtId="0" fontId="3" fillId="0" borderId="28" xfId="0" applyFont="1" applyBorder="1" applyAlignment="1">
      <alignment horizontal="center" vertical="center" textRotation="90" wrapText="1"/>
    </xf>
    <xf numFmtId="0" fontId="3" fillId="0" borderId="31" xfId="0" applyFont="1" applyBorder="1" applyAlignment="1">
      <alignment horizontal="center" vertical="center" textRotation="90" wrapText="1"/>
    </xf>
    <xf numFmtId="0" fontId="18" fillId="0" borderId="0" xfId="0" applyFont="1" applyAlignment="1">
      <alignment horizontal="left" wrapText="1"/>
    </xf>
    <xf numFmtId="0" fontId="16" fillId="0" borderId="17"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26" fillId="0" borderId="54" xfId="0" applyFont="1" applyBorder="1" applyAlignment="1">
      <alignment horizontal="center"/>
    </xf>
    <xf numFmtId="0" fontId="25" fillId="0" borderId="55" xfId="0" applyFont="1" applyBorder="1" applyAlignment="1">
      <alignment horizontal="center"/>
    </xf>
    <xf numFmtId="0" fontId="25" fillId="0" borderId="56" xfId="0" applyFont="1" applyBorder="1" applyAlignment="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1</xdr:row>
      <xdr:rowOff>0</xdr:rowOff>
    </xdr:from>
    <xdr:to>
      <xdr:col>16</xdr:col>
      <xdr:colOff>289560</xdr:colOff>
      <xdr:row>3</xdr:row>
      <xdr:rowOff>133350</xdr:rowOff>
    </xdr:to>
    <xdr:pic>
      <xdr:nvPicPr>
        <xdr:cNvPr id="2" name="Picture 1">
          <a:extLst>
            <a:ext uri="{FF2B5EF4-FFF2-40B4-BE49-F238E27FC236}">
              <a16:creationId xmlns:a16="http://schemas.microsoft.com/office/drawing/2014/main" id="{7DBF8F39-D003-48C9-9650-117815A9BC02}"/>
            </a:ext>
          </a:extLst>
        </xdr:cNvPr>
        <xdr:cNvPicPr/>
      </xdr:nvPicPr>
      <xdr:blipFill>
        <a:blip xmlns:r="http://schemas.openxmlformats.org/officeDocument/2006/relationships" r:embed="rId1"/>
        <a:stretch>
          <a:fillRect/>
        </a:stretch>
      </xdr:blipFill>
      <xdr:spPr>
        <a:xfrm>
          <a:off x="8534400" y="190500"/>
          <a:ext cx="1508760"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66676</xdr:colOff>
      <xdr:row>21</xdr:row>
      <xdr:rowOff>28575</xdr:rowOff>
    </xdr:from>
    <xdr:to>
      <xdr:col>15</xdr:col>
      <xdr:colOff>403656</xdr:colOff>
      <xdr:row>35</xdr:row>
      <xdr:rowOff>104775</xdr:rowOff>
    </xdr:to>
    <xdr:pic>
      <xdr:nvPicPr>
        <xdr:cNvPr id="9" name="Picture 8">
          <a:extLst>
            <a:ext uri="{FF2B5EF4-FFF2-40B4-BE49-F238E27FC236}">
              <a16:creationId xmlns:a16="http://schemas.microsoft.com/office/drawing/2014/main" id="{8B022572-C98C-43F9-B45A-57963F74ACCF}"/>
            </a:ext>
          </a:extLst>
        </xdr:cNvPr>
        <xdr:cNvPicPr>
          <a:picLocks noChangeAspect="1"/>
        </xdr:cNvPicPr>
      </xdr:nvPicPr>
      <xdr:blipFill>
        <a:blip xmlns:r="http://schemas.openxmlformats.org/officeDocument/2006/relationships" r:embed="rId1"/>
        <a:stretch>
          <a:fillRect/>
        </a:stretch>
      </xdr:blipFill>
      <xdr:spPr>
        <a:xfrm>
          <a:off x="5581651" y="4429125"/>
          <a:ext cx="4670855" cy="2743200"/>
        </a:xfrm>
        <a:prstGeom prst="rect">
          <a:avLst/>
        </a:prstGeom>
      </xdr:spPr>
    </xdr:pic>
    <xdr:clientData/>
  </xdr:twoCellAnchor>
  <xdr:twoCellAnchor editAs="oneCell">
    <xdr:from>
      <xdr:col>1</xdr:col>
      <xdr:colOff>47625</xdr:colOff>
      <xdr:row>21</xdr:row>
      <xdr:rowOff>38100</xdr:rowOff>
    </xdr:from>
    <xdr:to>
      <xdr:col>5</xdr:col>
      <xdr:colOff>656373</xdr:colOff>
      <xdr:row>35</xdr:row>
      <xdr:rowOff>114300</xdr:rowOff>
    </xdr:to>
    <xdr:pic>
      <xdr:nvPicPr>
        <xdr:cNvPr id="10" name="Picture 9">
          <a:extLst>
            <a:ext uri="{FF2B5EF4-FFF2-40B4-BE49-F238E27FC236}">
              <a16:creationId xmlns:a16="http://schemas.microsoft.com/office/drawing/2014/main" id="{D9D9B5FC-F833-4EE6-B036-C3B317736426}"/>
            </a:ext>
          </a:extLst>
        </xdr:cNvPr>
        <xdr:cNvPicPr>
          <a:picLocks noChangeAspect="1"/>
        </xdr:cNvPicPr>
      </xdr:nvPicPr>
      <xdr:blipFill>
        <a:blip xmlns:r="http://schemas.openxmlformats.org/officeDocument/2006/relationships" r:embed="rId2"/>
        <a:stretch>
          <a:fillRect/>
        </a:stretch>
      </xdr:blipFill>
      <xdr:spPr>
        <a:xfrm>
          <a:off x="657225" y="4438650"/>
          <a:ext cx="4742598" cy="2743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5</xdr:row>
      <xdr:rowOff>0</xdr:rowOff>
    </xdr:from>
    <xdr:to>
      <xdr:col>13</xdr:col>
      <xdr:colOff>467193</xdr:colOff>
      <xdr:row>39</xdr:row>
      <xdr:rowOff>59055</xdr:rowOff>
    </xdr:to>
    <xdr:pic>
      <xdr:nvPicPr>
        <xdr:cNvPr id="2" name="Picture 1">
          <a:extLst>
            <a:ext uri="{FF2B5EF4-FFF2-40B4-BE49-F238E27FC236}">
              <a16:creationId xmlns:a16="http://schemas.microsoft.com/office/drawing/2014/main" id="{8D95A50D-6448-4A86-B868-1C402C1C7270}"/>
            </a:ext>
          </a:extLst>
        </xdr:cNvPr>
        <xdr:cNvPicPr>
          <a:picLocks noChangeAspect="1"/>
        </xdr:cNvPicPr>
      </xdr:nvPicPr>
      <xdr:blipFill>
        <a:blip xmlns:r="http://schemas.openxmlformats.org/officeDocument/2006/relationships" r:embed="rId1"/>
        <a:stretch>
          <a:fillRect/>
        </a:stretch>
      </xdr:blipFill>
      <xdr:spPr>
        <a:xfrm>
          <a:off x="1219200" y="952500"/>
          <a:ext cx="7172793" cy="6536055"/>
        </a:xfrm>
        <a:prstGeom prst="rect">
          <a:avLst/>
        </a:prstGeom>
      </xdr:spPr>
    </xdr:pic>
    <xdr:clientData/>
  </xdr:twoCellAnchor>
  <xdr:twoCellAnchor editAs="oneCell">
    <xdr:from>
      <xdr:col>16</xdr:col>
      <xdr:colOff>0</xdr:colOff>
      <xdr:row>5</xdr:row>
      <xdr:rowOff>0</xdr:rowOff>
    </xdr:from>
    <xdr:to>
      <xdr:col>28</xdr:col>
      <xdr:colOff>380038</xdr:colOff>
      <xdr:row>44</xdr:row>
      <xdr:rowOff>8595</xdr:rowOff>
    </xdr:to>
    <xdr:pic>
      <xdr:nvPicPr>
        <xdr:cNvPr id="3" name="Picture 2">
          <a:extLst>
            <a:ext uri="{FF2B5EF4-FFF2-40B4-BE49-F238E27FC236}">
              <a16:creationId xmlns:a16="http://schemas.microsoft.com/office/drawing/2014/main" id="{CD6BCEBB-919F-4148-BE2C-6F78466F2E24}"/>
            </a:ext>
          </a:extLst>
        </xdr:cNvPr>
        <xdr:cNvPicPr>
          <a:picLocks noChangeAspect="1"/>
        </xdr:cNvPicPr>
      </xdr:nvPicPr>
      <xdr:blipFill>
        <a:blip xmlns:r="http://schemas.openxmlformats.org/officeDocument/2006/relationships" r:embed="rId2"/>
        <a:stretch>
          <a:fillRect/>
        </a:stretch>
      </xdr:blipFill>
      <xdr:spPr>
        <a:xfrm>
          <a:off x="9753600" y="952500"/>
          <a:ext cx="7695238" cy="74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DB03F-40F4-4FEC-8222-40F7FEA15738}">
  <dimension ref="A2:O19"/>
  <sheetViews>
    <sheetView workbookViewId="0">
      <selection activeCell="L11" sqref="L11"/>
    </sheetView>
  </sheetViews>
  <sheetFormatPr baseColWidth="10" defaultColWidth="8.83203125" defaultRowHeight="15" x14ac:dyDescent="0.2"/>
  <cols>
    <col min="10" max="10" width="14.5" bestFit="1" customWidth="1"/>
  </cols>
  <sheetData>
    <row r="2" spans="1:15" s="155" customFormat="1" ht="25" x14ac:dyDescent="0.25">
      <c r="A2" s="73" t="s">
        <v>140</v>
      </c>
    </row>
    <row r="3" spans="1:15" s="121" customFormat="1" ht="18" x14ac:dyDescent="0.2">
      <c r="A3" s="121" t="s">
        <v>86</v>
      </c>
      <c r="J3" s="189" t="s">
        <v>143</v>
      </c>
    </row>
    <row r="5" spans="1:15" ht="15" customHeight="1" x14ac:dyDescent="0.2">
      <c r="A5" s="190" t="s">
        <v>144</v>
      </c>
      <c r="B5" s="190"/>
      <c r="C5" s="190"/>
      <c r="D5" s="190"/>
      <c r="E5" s="190"/>
      <c r="F5" s="190"/>
      <c r="G5" s="190"/>
      <c r="H5" s="190"/>
      <c r="I5" s="190"/>
      <c r="J5" s="190"/>
    </row>
    <row r="6" spans="1:15" x14ac:dyDescent="0.2">
      <c r="A6" s="190"/>
      <c r="B6" s="190"/>
      <c r="C6" s="190"/>
      <c r="D6" s="190"/>
      <c r="E6" s="190"/>
      <c r="F6" s="190"/>
      <c r="G6" s="190"/>
      <c r="H6" s="190"/>
      <c r="I6" s="190"/>
      <c r="J6" s="190"/>
      <c r="O6" s="188" t="s">
        <v>141</v>
      </c>
    </row>
    <row r="7" spans="1:15" x14ac:dyDescent="0.2">
      <c r="A7" s="190"/>
      <c r="B7" s="190"/>
      <c r="C7" s="190"/>
      <c r="D7" s="190"/>
      <c r="E7" s="190"/>
      <c r="F7" s="190"/>
      <c r="G7" s="190"/>
      <c r="H7" s="190"/>
      <c r="I7" s="190"/>
      <c r="J7" s="190"/>
      <c r="O7" s="187" t="s">
        <v>142</v>
      </c>
    </row>
    <row r="8" spans="1:15" x14ac:dyDescent="0.2">
      <c r="A8" s="190"/>
      <c r="B8" s="190"/>
      <c r="C8" s="190"/>
      <c r="D8" s="190"/>
      <c r="E8" s="190"/>
      <c r="F8" s="190"/>
      <c r="G8" s="190"/>
      <c r="H8" s="190"/>
      <c r="I8" s="190"/>
      <c r="J8" s="190"/>
    </row>
    <row r="9" spans="1:15" x14ac:dyDescent="0.2">
      <c r="A9" s="190"/>
      <c r="B9" s="190"/>
      <c r="C9" s="190"/>
      <c r="D9" s="190"/>
      <c r="E9" s="190"/>
      <c r="F9" s="190"/>
      <c r="G9" s="190"/>
      <c r="H9" s="190"/>
      <c r="I9" s="190"/>
      <c r="J9" s="190"/>
    </row>
    <row r="10" spans="1:15" x14ac:dyDescent="0.2">
      <c r="A10" s="190"/>
      <c r="B10" s="190"/>
      <c r="C10" s="190"/>
      <c r="D10" s="190"/>
      <c r="E10" s="190"/>
      <c r="F10" s="190"/>
      <c r="G10" s="190"/>
      <c r="H10" s="190"/>
      <c r="I10" s="190"/>
      <c r="J10" s="190"/>
    </row>
    <row r="11" spans="1:15" x14ac:dyDescent="0.2">
      <c r="A11" s="190"/>
      <c r="B11" s="190"/>
      <c r="C11" s="190"/>
      <c r="D11" s="190"/>
      <c r="E11" s="190"/>
      <c r="F11" s="190"/>
      <c r="G11" s="190"/>
      <c r="H11" s="190"/>
      <c r="I11" s="190"/>
      <c r="J11" s="190"/>
    </row>
    <row r="12" spans="1:15" ht="114" customHeight="1" x14ac:dyDescent="0.2">
      <c r="A12" s="190"/>
      <c r="B12" s="190"/>
      <c r="C12" s="190"/>
      <c r="D12" s="190"/>
      <c r="E12" s="190"/>
      <c r="F12" s="190"/>
      <c r="G12" s="190"/>
      <c r="H12" s="190"/>
      <c r="I12" s="190"/>
      <c r="J12" s="190"/>
    </row>
    <row r="14" spans="1:15" ht="30" x14ac:dyDescent="0.3">
      <c r="A14" s="191" t="s">
        <v>111</v>
      </c>
      <c r="B14" s="191"/>
      <c r="C14" s="191"/>
      <c r="D14" s="191"/>
      <c r="E14" s="191"/>
      <c r="F14" s="191"/>
      <c r="G14" s="191"/>
      <c r="H14" s="191"/>
      <c r="I14" s="191"/>
    </row>
    <row r="15" spans="1:15" s="134" customFormat="1" ht="25" x14ac:dyDescent="0.25">
      <c r="A15" s="134">
        <v>1</v>
      </c>
      <c r="B15" s="134" t="s">
        <v>109</v>
      </c>
      <c r="J15" s="186" t="s">
        <v>135</v>
      </c>
    </row>
    <row r="16" spans="1:15" s="134" customFormat="1" ht="25" x14ac:dyDescent="0.25">
      <c r="A16" s="134">
        <v>2</v>
      </c>
      <c r="B16" s="134" t="s">
        <v>110</v>
      </c>
      <c r="J16" s="186" t="s">
        <v>136</v>
      </c>
    </row>
    <row r="17" spans="1:10" s="134" customFormat="1" ht="25" x14ac:dyDescent="0.25">
      <c r="A17" s="134">
        <v>3</v>
      </c>
      <c r="B17" s="134" t="s">
        <v>107</v>
      </c>
      <c r="J17" s="186" t="s">
        <v>137</v>
      </c>
    </row>
    <row r="18" spans="1:10" s="134" customFormat="1" ht="25" x14ac:dyDescent="0.25">
      <c r="A18" s="134">
        <v>4</v>
      </c>
      <c r="B18" s="134" t="s">
        <v>134</v>
      </c>
      <c r="J18" s="186" t="s">
        <v>138</v>
      </c>
    </row>
    <row r="19" spans="1:10" s="134" customFormat="1" ht="25" x14ac:dyDescent="0.25">
      <c r="A19" s="134">
        <v>5</v>
      </c>
      <c r="B19" s="134" t="s">
        <v>108</v>
      </c>
      <c r="J19" s="186" t="s">
        <v>139</v>
      </c>
    </row>
  </sheetData>
  <sheetProtection algorithmName="SHA-512" hashValue="ILsiS4nkMC5bZKF4rKl6A3+ELZmD8sfk26/134cYgsCBkGY/tyIYLn7avtEAW2F8+OIwQOnd40OHEg1YvuuLTg==" saltValue="EI094i2nmnUDmGAeysii5A==" spinCount="100000" sheet="1" objects="1" scenarios="1"/>
  <mergeCells count="2">
    <mergeCell ref="A5:J12"/>
    <mergeCell ref="A14:I14"/>
  </mergeCells>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861A7-B319-42C9-9BFE-0B439DE9FE2B}">
  <dimension ref="B2:N17"/>
  <sheetViews>
    <sheetView workbookViewId="0">
      <selection activeCell="K5" sqref="K5:N10"/>
    </sheetView>
  </sheetViews>
  <sheetFormatPr baseColWidth="10" defaultColWidth="8.83203125" defaultRowHeight="15" x14ac:dyDescent="0.2"/>
  <cols>
    <col min="2" max="2" width="37.6640625" customWidth="1"/>
    <col min="3" max="6" width="12.6640625" style="72" customWidth="1"/>
    <col min="7" max="7" width="14" customWidth="1"/>
    <col min="8" max="9" width="12.6640625" customWidth="1"/>
  </cols>
  <sheetData>
    <row r="2" spans="2:14" ht="27" x14ac:dyDescent="0.2">
      <c r="B2" s="171" t="s">
        <v>125</v>
      </c>
      <c r="E2" s="172" t="s">
        <v>126</v>
      </c>
      <c r="F2" s="173" t="s">
        <v>127</v>
      </c>
    </row>
    <row r="3" spans="2:14" x14ac:dyDescent="0.2">
      <c r="B3" t="s">
        <v>106</v>
      </c>
    </row>
    <row r="4" spans="2:14" ht="60" customHeight="1" thickBot="1" x14ac:dyDescent="0.25">
      <c r="B4" s="133" t="s">
        <v>88</v>
      </c>
      <c r="C4" s="192" t="s">
        <v>87</v>
      </c>
      <c r="D4" s="193"/>
      <c r="E4" s="193"/>
      <c r="F4" s="194"/>
      <c r="G4" s="195" t="s">
        <v>122</v>
      </c>
      <c r="H4" s="195"/>
      <c r="I4" s="196"/>
    </row>
    <row r="5" spans="2:14" ht="48" x14ac:dyDescent="0.2">
      <c r="B5" s="6"/>
      <c r="C5" s="74" t="s">
        <v>100</v>
      </c>
      <c r="D5" s="42" t="s">
        <v>101</v>
      </c>
      <c r="E5" s="42" t="s">
        <v>103</v>
      </c>
      <c r="F5" s="75" t="s">
        <v>102</v>
      </c>
      <c r="G5" s="42" t="s">
        <v>40</v>
      </c>
      <c r="H5" s="42" t="s">
        <v>105</v>
      </c>
      <c r="I5" s="75" t="s">
        <v>47</v>
      </c>
      <c r="K5" s="197" t="s">
        <v>145</v>
      </c>
      <c r="L5" s="198"/>
      <c r="M5" s="198"/>
      <c r="N5" s="199"/>
    </row>
    <row r="6" spans="2:14" ht="16" x14ac:dyDescent="0.2">
      <c r="B6" s="6" t="s">
        <v>89</v>
      </c>
      <c r="C6" s="122"/>
      <c r="D6" s="128"/>
      <c r="E6" s="128"/>
      <c r="F6" s="129"/>
      <c r="G6" s="123"/>
      <c r="H6" s="123" t="s">
        <v>104</v>
      </c>
      <c r="I6" s="124" t="s">
        <v>104</v>
      </c>
      <c r="K6" s="200"/>
      <c r="L6" s="201"/>
      <c r="M6" s="201"/>
      <c r="N6" s="202"/>
    </row>
    <row r="7" spans="2:14" ht="16" x14ac:dyDescent="0.2">
      <c r="B7" s="6" t="s">
        <v>90</v>
      </c>
      <c r="C7" s="122"/>
      <c r="D7" s="128"/>
      <c r="E7" s="128"/>
      <c r="F7" s="129"/>
      <c r="G7" s="123"/>
      <c r="H7" s="123"/>
      <c r="I7" s="124" t="s">
        <v>104</v>
      </c>
      <c r="K7" s="200"/>
      <c r="L7" s="201"/>
      <c r="M7" s="201"/>
      <c r="N7" s="202"/>
    </row>
    <row r="8" spans="2:14" ht="16" x14ac:dyDescent="0.2">
      <c r="B8" s="6" t="s">
        <v>91</v>
      </c>
      <c r="C8" s="122"/>
      <c r="D8" s="128"/>
      <c r="E8" s="128"/>
      <c r="F8" s="129"/>
      <c r="G8" s="123"/>
      <c r="H8" s="123"/>
      <c r="I8" s="124" t="s">
        <v>104</v>
      </c>
      <c r="K8" s="200"/>
      <c r="L8" s="201"/>
      <c r="M8" s="201"/>
      <c r="N8" s="202"/>
    </row>
    <row r="9" spans="2:14" ht="16" x14ac:dyDescent="0.2">
      <c r="B9" s="6" t="s">
        <v>92</v>
      </c>
      <c r="C9" s="122"/>
      <c r="D9" s="128"/>
      <c r="E9" s="128"/>
      <c r="F9" s="129"/>
      <c r="G9" s="123" t="s">
        <v>104</v>
      </c>
      <c r="H9" s="123"/>
      <c r="I9" s="124" t="s">
        <v>104</v>
      </c>
      <c r="K9" s="200"/>
      <c r="L9" s="201"/>
      <c r="M9" s="201"/>
      <c r="N9" s="202"/>
    </row>
    <row r="10" spans="2:14" ht="17" thickBot="1" x14ac:dyDescent="0.25">
      <c r="B10" s="6" t="s">
        <v>93</v>
      </c>
      <c r="C10" s="122"/>
      <c r="D10" s="128"/>
      <c r="E10" s="128"/>
      <c r="F10" s="129"/>
      <c r="G10" s="123"/>
      <c r="H10" s="123"/>
      <c r="I10" s="124" t="s">
        <v>104</v>
      </c>
      <c r="K10" s="203"/>
      <c r="L10" s="204"/>
      <c r="M10" s="204"/>
      <c r="N10" s="205"/>
    </row>
    <row r="11" spans="2:14" ht="16" x14ac:dyDescent="0.2">
      <c r="B11" s="6" t="s">
        <v>94</v>
      </c>
      <c r="C11" s="122"/>
      <c r="D11" s="128"/>
      <c r="E11" s="128"/>
      <c r="F11" s="129"/>
      <c r="G11" s="123"/>
      <c r="H11" s="123"/>
      <c r="I11" s="124" t="s">
        <v>104</v>
      </c>
    </row>
    <row r="12" spans="2:14" ht="17" x14ac:dyDescent="0.2">
      <c r="B12" s="6" t="s">
        <v>95</v>
      </c>
      <c r="C12" s="122"/>
      <c r="D12" s="128" t="s">
        <v>104</v>
      </c>
      <c r="E12" s="128"/>
      <c r="F12" s="129"/>
      <c r="G12" s="123" t="s">
        <v>104</v>
      </c>
      <c r="H12" s="123"/>
      <c r="I12" s="124"/>
    </row>
    <row r="13" spans="2:14" ht="16" x14ac:dyDescent="0.2">
      <c r="B13" s="6" t="s">
        <v>96</v>
      </c>
      <c r="C13" s="122"/>
      <c r="D13" s="128"/>
      <c r="E13" s="128"/>
      <c r="F13" s="129"/>
      <c r="G13" s="123"/>
      <c r="H13" s="123"/>
      <c r="I13" s="124" t="s">
        <v>104</v>
      </c>
    </row>
    <row r="14" spans="2:14" ht="16" x14ac:dyDescent="0.2">
      <c r="B14" s="6" t="s">
        <v>113</v>
      </c>
      <c r="C14" s="122"/>
      <c r="D14" s="128"/>
      <c r="E14" s="128"/>
      <c r="F14" s="129"/>
      <c r="G14" s="123" t="s">
        <v>104</v>
      </c>
      <c r="H14" s="123" t="s">
        <v>104</v>
      </c>
      <c r="I14" s="124"/>
    </row>
    <row r="15" spans="2:14" ht="16" x14ac:dyDescent="0.2">
      <c r="B15" s="6" t="s">
        <v>97</v>
      </c>
      <c r="C15" s="122"/>
      <c r="D15" s="128"/>
      <c r="E15" s="128"/>
      <c r="F15" s="129"/>
      <c r="G15" s="123"/>
      <c r="H15" s="123" t="s">
        <v>104</v>
      </c>
      <c r="I15" s="124"/>
    </row>
    <row r="16" spans="2:14" ht="17" x14ac:dyDescent="0.2">
      <c r="B16" s="6" t="s">
        <v>98</v>
      </c>
      <c r="C16" s="122"/>
      <c r="D16" s="128" t="s">
        <v>104</v>
      </c>
      <c r="E16" s="128"/>
      <c r="F16" s="129"/>
      <c r="G16" s="123" t="s">
        <v>104</v>
      </c>
      <c r="H16" s="123" t="s">
        <v>104</v>
      </c>
      <c r="I16" s="124"/>
    </row>
    <row r="17" spans="2:9" ht="16" x14ac:dyDescent="0.2">
      <c r="B17" s="132" t="s">
        <v>99</v>
      </c>
      <c r="C17" s="125"/>
      <c r="D17" s="130"/>
      <c r="E17" s="130"/>
      <c r="F17" s="131"/>
      <c r="G17" s="126" t="s">
        <v>104</v>
      </c>
      <c r="H17" s="126" t="s">
        <v>104</v>
      </c>
      <c r="I17" s="127"/>
    </row>
  </sheetData>
  <sheetProtection algorithmName="SHA-512" hashValue="MAe000v8NUWIMU+zRNgjUHvMhlQ6VPSbvdmJxYdNeQvv+LVC1jaHXvWdRBZ2B5MMqywcY9Vuw0cmGJro6GUuiA==" saltValue="beYpAV4vELljtd+fhO380Q==" spinCount="100000" sheet="1" objects="1" scenarios="1"/>
  <mergeCells count="3">
    <mergeCell ref="C4:F4"/>
    <mergeCell ref="G4:I4"/>
    <mergeCell ref="K5:N10"/>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BEFF7-2C49-4F82-913B-B1A313BD01A0}">
  <dimension ref="B1:P12"/>
  <sheetViews>
    <sheetView workbookViewId="0">
      <selection activeCell="A2" sqref="A2"/>
    </sheetView>
  </sheetViews>
  <sheetFormatPr baseColWidth="10" defaultColWidth="8.83203125" defaultRowHeight="15" x14ac:dyDescent="0.2"/>
  <cols>
    <col min="2" max="2" width="16.33203125" customWidth="1"/>
    <col min="3" max="3" width="29.83203125" customWidth="1"/>
    <col min="5" max="5" width="16.5" customWidth="1"/>
    <col min="6" max="6" width="22.5" customWidth="1"/>
  </cols>
  <sheetData>
    <row r="1" spans="2:16" ht="26.25" customHeight="1" x14ac:dyDescent="0.2">
      <c r="B1" s="171" t="s">
        <v>125</v>
      </c>
      <c r="C1" s="72"/>
      <c r="D1" s="72"/>
      <c r="E1" s="174" t="s">
        <v>126</v>
      </c>
      <c r="F1" s="175" t="s">
        <v>128</v>
      </c>
    </row>
    <row r="2" spans="2:16" ht="27" thickBot="1" x14ac:dyDescent="0.25">
      <c r="B2" s="171"/>
      <c r="C2" s="72"/>
      <c r="D2" s="72"/>
      <c r="E2" s="172"/>
      <c r="F2" s="173"/>
    </row>
    <row r="3" spans="2:16" ht="15" customHeight="1" x14ac:dyDescent="0.2">
      <c r="B3" s="206" t="s">
        <v>130</v>
      </c>
      <c r="C3" s="207"/>
      <c r="D3" s="207"/>
      <c r="E3" s="207"/>
      <c r="F3" s="207"/>
      <c r="G3" s="207"/>
      <c r="H3" s="207"/>
      <c r="I3" s="207"/>
      <c r="J3" s="207"/>
      <c r="K3" s="208"/>
      <c r="M3" s="197" t="s">
        <v>129</v>
      </c>
      <c r="N3" s="198"/>
      <c r="O3" s="198"/>
      <c r="P3" s="199"/>
    </row>
    <row r="4" spans="2:16" ht="30" customHeight="1" x14ac:dyDescent="0.2">
      <c r="B4" s="143"/>
      <c r="C4" s="144"/>
      <c r="D4" s="144"/>
      <c r="E4" s="154" t="s">
        <v>77</v>
      </c>
      <c r="F4" s="154" t="s">
        <v>78</v>
      </c>
      <c r="G4" s="209" t="s">
        <v>60</v>
      </c>
      <c r="H4" s="209"/>
      <c r="I4" s="209"/>
      <c r="J4" s="209"/>
      <c r="K4" s="210"/>
      <c r="M4" s="200"/>
      <c r="N4" s="201"/>
      <c r="O4" s="201"/>
      <c r="P4" s="202"/>
    </row>
    <row r="5" spans="2:16" ht="16" x14ac:dyDescent="0.2">
      <c r="B5" s="145" t="s">
        <v>73</v>
      </c>
      <c r="C5" s="135" t="s">
        <v>74</v>
      </c>
      <c r="D5" s="135" t="s">
        <v>75</v>
      </c>
      <c r="E5" s="135" t="s">
        <v>76</v>
      </c>
      <c r="F5" s="135" t="s">
        <v>79</v>
      </c>
      <c r="G5" s="211"/>
      <c r="H5" s="211"/>
      <c r="I5" s="211"/>
      <c r="J5" s="211"/>
      <c r="K5" s="212"/>
      <c r="M5" s="200"/>
      <c r="N5" s="201"/>
      <c r="O5" s="201"/>
      <c r="P5" s="202"/>
    </row>
    <row r="6" spans="2:16" x14ac:dyDescent="0.2">
      <c r="B6" s="146" t="s">
        <v>39</v>
      </c>
      <c r="C6" s="138" t="s">
        <v>40</v>
      </c>
      <c r="D6" s="139">
        <v>0.3</v>
      </c>
      <c r="E6" s="140">
        <v>16.2</v>
      </c>
      <c r="F6" s="136">
        <v>14.92</v>
      </c>
      <c r="G6" s="138" t="s">
        <v>80</v>
      </c>
      <c r="H6" s="138"/>
      <c r="I6" s="138"/>
      <c r="J6" s="138"/>
      <c r="K6" s="152"/>
      <c r="M6" s="200"/>
      <c r="N6" s="201"/>
      <c r="O6" s="201"/>
      <c r="P6" s="202"/>
    </row>
    <row r="7" spans="2:16" x14ac:dyDescent="0.2">
      <c r="B7" s="146" t="s">
        <v>43</v>
      </c>
      <c r="C7" s="138" t="s">
        <v>44</v>
      </c>
      <c r="D7" s="139">
        <v>0.3</v>
      </c>
      <c r="E7" s="137">
        <v>21.37</v>
      </c>
      <c r="F7" s="136">
        <v>19.52</v>
      </c>
      <c r="G7" s="138" t="s">
        <v>80</v>
      </c>
      <c r="H7" s="138"/>
      <c r="I7" s="138"/>
      <c r="J7" s="138"/>
      <c r="K7" s="152"/>
      <c r="M7" s="200"/>
      <c r="N7" s="201"/>
      <c r="O7" s="201"/>
      <c r="P7" s="202"/>
    </row>
    <row r="8" spans="2:16" ht="16" thickBot="1" x14ac:dyDescent="0.25">
      <c r="B8" s="146" t="s">
        <v>46</v>
      </c>
      <c r="C8" s="138" t="s">
        <v>47</v>
      </c>
      <c r="D8" s="139">
        <v>0.4</v>
      </c>
      <c r="E8" s="137">
        <v>25.33</v>
      </c>
      <c r="F8" s="141">
        <f>54120/2080</f>
        <v>26.01923076923077</v>
      </c>
      <c r="G8" s="138" t="s">
        <v>61</v>
      </c>
      <c r="H8" s="138"/>
      <c r="I8" s="138"/>
      <c r="J8" s="138"/>
      <c r="K8" s="152"/>
      <c r="M8" s="203"/>
      <c r="N8" s="204"/>
      <c r="O8" s="204"/>
      <c r="P8" s="205"/>
    </row>
    <row r="9" spans="2:16" x14ac:dyDescent="0.2">
      <c r="B9" s="147" t="s">
        <v>48</v>
      </c>
      <c r="C9" s="148"/>
      <c r="D9" s="149"/>
      <c r="E9" s="150">
        <f>($D$6*E6)+($D$7*E7)+($D$8*E8)</f>
        <v>21.402999999999999</v>
      </c>
      <c r="F9" s="150">
        <f>($D$6*F6)+($D$7*F7)+($D$8*F8)</f>
        <v>20.739692307692309</v>
      </c>
      <c r="G9" s="151"/>
      <c r="H9" s="151"/>
      <c r="I9" s="151"/>
      <c r="J9" s="151"/>
      <c r="K9" s="153"/>
    </row>
    <row r="10" spans="2:16" x14ac:dyDescent="0.2">
      <c r="B10" s="142"/>
      <c r="C10" s="142"/>
      <c r="D10" s="142"/>
      <c r="E10" s="142"/>
      <c r="F10" s="142"/>
    </row>
    <row r="11" spans="2:16" x14ac:dyDescent="0.2">
      <c r="B11" s="142"/>
      <c r="C11" s="142"/>
      <c r="D11" s="142"/>
      <c r="E11" s="142"/>
      <c r="F11" s="142"/>
    </row>
    <row r="12" spans="2:16" x14ac:dyDescent="0.2">
      <c r="B12" s="142"/>
      <c r="C12" s="142"/>
      <c r="D12" s="142"/>
      <c r="E12" s="142"/>
      <c r="F12" s="142"/>
    </row>
  </sheetData>
  <sheetProtection algorithmName="SHA-512" hashValue="gcjEphVBbwZumO0w7dvnj5NPcKYhoStwqF6vekjDOCFfUhu0Cq7r6YRXJYqG7XdkXKKOgBQQi5hpaMq859LF6A==" saltValue="fAZi6JXXT62mabwxu2sfOg==" spinCount="100000" sheet="1" objects="1" scenarios="1"/>
  <mergeCells count="3">
    <mergeCell ref="B3:K3"/>
    <mergeCell ref="G4:K5"/>
    <mergeCell ref="M3:P8"/>
  </mergeCell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B6664-D5B5-458F-A683-E6A579EEEF9A}">
  <dimension ref="A2:Z54"/>
  <sheetViews>
    <sheetView zoomScale="70" zoomScaleNormal="70" workbookViewId="0">
      <selection activeCell="C16" sqref="C16"/>
    </sheetView>
  </sheetViews>
  <sheetFormatPr baseColWidth="10" defaultColWidth="9.1640625" defaultRowHeight="15" x14ac:dyDescent="0.2"/>
  <cols>
    <col min="1" max="1" width="2.83203125" style="1" customWidth="1"/>
    <col min="3" max="3" width="56.1640625" bestFit="1" customWidth="1"/>
    <col min="4" max="7" width="21.83203125" customWidth="1"/>
    <col min="8" max="8" width="11.5" hidden="1" customWidth="1"/>
    <col min="9" max="9" width="10.5" hidden="1" customWidth="1"/>
    <col min="10" max="10" width="12.6640625" hidden="1" customWidth="1"/>
    <col min="11" max="13" width="10.5" hidden="1" customWidth="1"/>
    <col min="14" max="14" width="11" hidden="1" customWidth="1"/>
    <col min="15" max="18" width="0" hidden="1" customWidth="1"/>
  </cols>
  <sheetData>
    <row r="2" spans="1:26" ht="26.25" customHeight="1" x14ac:dyDescent="0.2">
      <c r="A2"/>
      <c r="B2" s="171" t="s">
        <v>125</v>
      </c>
      <c r="C2" s="72"/>
      <c r="D2" s="72"/>
      <c r="E2" s="174" t="s">
        <v>126</v>
      </c>
      <c r="F2" s="175" t="s">
        <v>131</v>
      </c>
    </row>
    <row r="3" spans="1:26" ht="18" x14ac:dyDescent="0.2">
      <c r="B3" s="121" t="s">
        <v>86</v>
      </c>
    </row>
    <row r="4" spans="1:26" ht="19" thickBot="1" x14ac:dyDescent="0.25">
      <c r="B4" s="121" t="s">
        <v>85</v>
      </c>
    </row>
    <row r="5" spans="1:26" ht="129.75" customHeight="1" x14ac:dyDescent="0.2">
      <c r="B5" s="228" t="s">
        <v>112</v>
      </c>
      <c r="C5" s="228"/>
      <c r="D5" s="228"/>
      <c r="E5" s="228"/>
      <c r="F5" s="228"/>
      <c r="G5" s="228"/>
      <c r="T5" s="213" t="s">
        <v>146</v>
      </c>
      <c r="U5" s="214"/>
      <c r="V5" s="214"/>
      <c r="W5" s="214"/>
      <c r="X5" s="214"/>
      <c r="Y5" s="214"/>
      <c r="Z5" s="215"/>
    </row>
    <row r="6" spans="1:26" ht="18" customHeight="1" x14ac:dyDescent="0.2">
      <c r="B6" s="121"/>
      <c r="T6" s="216"/>
      <c r="U6" s="217"/>
      <c r="V6" s="217"/>
      <c r="W6" s="217"/>
      <c r="X6" s="217"/>
      <c r="Y6" s="217"/>
      <c r="Z6" s="218"/>
    </row>
    <row r="7" spans="1:26" ht="15" customHeight="1" x14ac:dyDescent="0.2">
      <c r="T7" s="216"/>
      <c r="U7" s="217"/>
      <c r="V7" s="217"/>
      <c r="W7" s="217"/>
      <c r="X7" s="217"/>
      <c r="Y7" s="217"/>
      <c r="Z7" s="218"/>
    </row>
    <row r="8" spans="1:26" s="1" customFormat="1" ht="19.5" customHeight="1" thickBot="1" x14ac:dyDescent="0.3">
      <c r="B8" s="2"/>
      <c r="C8" s="2"/>
      <c r="D8" s="2"/>
      <c r="E8" s="2"/>
      <c r="F8" s="2"/>
      <c r="G8" s="2"/>
      <c r="S8" s="3"/>
      <c r="T8" s="216"/>
      <c r="U8" s="217"/>
      <c r="V8" s="217"/>
      <c r="W8" s="217"/>
      <c r="X8" s="217"/>
      <c r="Y8" s="217"/>
      <c r="Z8" s="218"/>
    </row>
    <row r="9" spans="1:26" ht="61.5" customHeight="1" x14ac:dyDescent="0.2">
      <c r="B9" s="118"/>
      <c r="C9" s="87" t="s">
        <v>0</v>
      </c>
      <c r="D9" s="119" t="s">
        <v>49</v>
      </c>
      <c r="E9" s="119" t="s">
        <v>50</v>
      </c>
      <c r="F9" s="119" t="s">
        <v>54</v>
      </c>
      <c r="G9" s="120" t="s">
        <v>59</v>
      </c>
      <c r="H9" s="4" t="s">
        <v>1</v>
      </c>
      <c r="I9" s="4" t="s">
        <v>2</v>
      </c>
      <c r="J9" s="4"/>
      <c r="M9" t="s">
        <v>3</v>
      </c>
      <c r="T9" s="216"/>
      <c r="U9" s="217"/>
      <c r="V9" s="217"/>
      <c r="W9" s="217"/>
      <c r="X9" s="217"/>
      <c r="Y9" s="217"/>
      <c r="Z9" s="218"/>
    </row>
    <row r="10" spans="1:26" ht="6" customHeight="1" thickBot="1" x14ac:dyDescent="0.25">
      <c r="B10" s="222" t="s">
        <v>4</v>
      </c>
      <c r="C10" s="41"/>
      <c r="D10" s="42"/>
      <c r="E10" s="42"/>
      <c r="F10" s="42"/>
      <c r="G10" s="88"/>
      <c r="H10" s="4"/>
      <c r="I10" s="4"/>
      <c r="J10" s="4"/>
      <c r="T10" s="219"/>
      <c r="U10" s="220"/>
      <c r="V10" s="220"/>
      <c r="W10" s="220"/>
      <c r="X10" s="220"/>
      <c r="Y10" s="220"/>
      <c r="Z10" s="221"/>
    </row>
    <row r="11" spans="1:26" s="47" customFormat="1" x14ac:dyDescent="0.2">
      <c r="A11" s="43"/>
      <c r="B11" s="222"/>
      <c r="C11" s="44" t="s">
        <v>56</v>
      </c>
      <c r="D11" s="45"/>
      <c r="E11" s="49">
        <v>0.7</v>
      </c>
      <c r="F11" s="45"/>
      <c r="G11" s="89">
        <v>0.7</v>
      </c>
      <c r="H11" s="46"/>
      <c r="I11" s="46"/>
      <c r="J11" s="46"/>
    </row>
    <row r="12" spans="1:26" ht="6.75" customHeight="1" x14ac:dyDescent="0.2">
      <c r="B12" s="222"/>
      <c r="C12" s="41"/>
      <c r="D12" s="42"/>
      <c r="E12" s="42"/>
      <c r="F12" s="42"/>
      <c r="G12" s="88"/>
      <c r="H12" s="4"/>
      <c r="I12" s="4"/>
      <c r="J12" s="4"/>
    </row>
    <row r="13" spans="1:26" ht="15" customHeight="1" x14ac:dyDescent="0.2">
      <c r="A13" s="1" t="s">
        <v>55</v>
      </c>
      <c r="B13" s="222"/>
      <c r="C13" s="36" t="s">
        <v>58</v>
      </c>
      <c r="D13" s="38">
        <v>14.89</v>
      </c>
      <c r="E13" s="50">
        <v>16.87</v>
      </c>
      <c r="F13" s="57">
        <f>E13-D13</f>
        <v>1.9800000000000004</v>
      </c>
      <c r="G13" s="90">
        <f>'BLS Adjusted Wage Rate'!F9</f>
        <v>20.739692307692309</v>
      </c>
      <c r="H13" s="5" t="e">
        <f>#REF!*2080</f>
        <v>#REF!</v>
      </c>
      <c r="I13" s="5" t="e">
        <f>H13/12</f>
        <v>#REF!</v>
      </c>
      <c r="J13" s="5"/>
      <c r="K13" s="5"/>
      <c r="L13" s="5"/>
      <c r="M13" s="5">
        <v>14.89</v>
      </c>
      <c r="N13" s="5"/>
      <c r="O13" s="5"/>
    </row>
    <row r="14" spans="1:26" ht="15" customHeight="1" x14ac:dyDescent="0.2">
      <c r="B14" s="222"/>
      <c r="C14" s="6" t="s">
        <v>5</v>
      </c>
      <c r="D14" s="8">
        <v>0.26400000000000001</v>
      </c>
      <c r="E14" s="8">
        <v>0.23200000000000001</v>
      </c>
      <c r="F14" s="59">
        <f>E14-D14</f>
        <v>-3.2000000000000001E-2</v>
      </c>
      <c r="G14" s="91">
        <v>0.23200000000000001</v>
      </c>
      <c r="H14" s="5">
        <v>7800</v>
      </c>
      <c r="I14" s="5">
        <f>H14/12</f>
        <v>650</v>
      </c>
      <c r="J14" s="5"/>
      <c r="K14" s="5"/>
      <c r="L14" s="5"/>
      <c r="M14" s="5"/>
      <c r="N14" s="5"/>
      <c r="O14" s="5"/>
    </row>
    <row r="15" spans="1:26" ht="15" customHeight="1" x14ac:dyDescent="0.2">
      <c r="B15" s="222"/>
      <c r="C15" s="6" t="s">
        <v>6</v>
      </c>
      <c r="D15" s="11">
        <v>4.2000000000000003E-2</v>
      </c>
      <c r="E15" s="11">
        <v>4.8300000000000003E-2</v>
      </c>
      <c r="F15" s="58">
        <f>E15-D15</f>
        <v>6.3E-3</v>
      </c>
      <c r="G15" s="92">
        <v>4.8300000000000003E-2</v>
      </c>
      <c r="H15" s="9">
        <v>8.2600000000000007E-2</v>
      </c>
      <c r="I15" s="9">
        <v>8.2600000000000007E-2</v>
      </c>
      <c r="J15" s="9"/>
      <c r="K15" s="5"/>
      <c r="L15" s="5"/>
      <c r="M15" s="12">
        <v>4.2000000000000003E-2</v>
      </c>
      <c r="N15" s="5"/>
      <c r="O15" s="5"/>
    </row>
    <row r="16" spans="1:26" ht="15" customHeight="1" x14ac:dyDescent="0.2">
      <c r="B16" s="222"/>
      <c r="C16" s="6" t="s">
        <v>51</v>
      </c>
      <c r="D16" s="13">
        <f>D13+(D13*(D14+D15))</f>
        <v>19.446339999999999</v>
      </c>
      <c r="E16" s="13">
        <f>E13+(E13*(E14+E15))</f>
        <v>21.598661</v>
      </c>
      <c r="F16" s="54">
        <f>E16-D16</f>
        <v>2.1523210000000006</v>
      </c>
      <c r="G16" s="93">
        <f>G13+(G13*(G14+G15))</f>
        <v>26.553028061538463</v>
      </c>
      <c r="H16" s="5" t="e">
        <f>H13*#REF!</f>
        <v>#REF!</v>
      </c>
      <c r="I16" s="5" t="e">
        <f>I13*#REF!</f>
        <v>#REF!</v>
      </c>
      <c r="J16" s="5"/>
      <c r="K16" s="5"/>
      <c r="L16" s="5"/>
      <c r="M16" s="5"/>
      <c r="N16" s="5"/>
      <c r="O16" s="5"/>
    </row>
    <row r="17" spans="2:18" x14ac:dyDescent="0.2">
      <c r="B17" s="222"/>
      <c r="C17" s="6"/>
      <c r="D17" s="6"/>
      <c r="E17" s="48"/>
      <c r="F17" s="6"/>
      <c r="G17" s="94"/>
      <c r="H17" s="5"/>
      <c r="I17" s="5"/>
      <c r="J17" s="5"/>
      <c r="K17" s="5"/>
      <c r="L17" s="5"/>
      <c r="M17" s="5"/>
      <c r="N17" s="5"/>
      <c r="O17" s="5"/>
    </row>
    <row r="18" spans="2:18" x14ac:dyDescent="0.2">
      <c r="B18" s="222"/>
      <c r="C18" s="14" t="s">
        <v>8</v>
      </c>
      <c r="D18" s="14"/>
      <c r="E18" s="14"/>
      <c r="F18" s="14"/>
      <c r="G18" s="95"/>
      <c r="H18" s="16"/>
      <c r="I18" s="16"/>
      <c r="J18" s="16"/>
      <c r="K18" s="5"/>
      <c r="L18" s="5"/>
      <c r="M18" s="5"/>
      <c r="N18" s="5"/>
      <c r="O18" s="5"/>
    </row>
    <row r="19" spans="2:18" x14ac:dyDescent="0.2">
      <c r="B19" s="222"/>
      <c r="C19" s="6" t="s">
        <v>9</v>
      </c>
      <c r="D19" s="15">
        <v>40</v>
      </c>
      <c r="E19" s="48">
        <f>((7*40)+(3*22))/10</f>
        <v>34.6</v>
      </c>
      <c r="F19" s="60">
        <f t="shared" ref="F19:F26" si="0">E19-D19</f>
        <v>-5.3999999999999986</v>
      </c>
      <c r="G19" s="94">
        <f>((7*40)+(3*22))/10</f>
        <v>34.6</v>
      </c>
      <c r="H19" s="16"/>
      <c r="I19" s="16">
        <v>40</v>
      </c>
      <c r="J19" s="16"/>
      <c r="K19" s="5"/>
      <c r="L19" s="5"/>
      <c r="M19" s="5"/>
      <c r="N19" s="5"/>
      <c r="O19" s="5"/>
    </row>
    <row r="20" spans="2:18" x14ac:dyDescent="0.2">
      <c r="B20" s="222"/>
      <c r="C20" s="6" t="s">
        <v>10</v>
      </c>
      <c r="D20" s="17">
        <v>1.33</v>
      </c>
      <c r="E20" s="17">
        <v>2.3199999999999998</v>
      </c>
      <c r="F20" s="56">
        <f t="shared" si="0"/>
        <v>0.98999999999999977</v>
      </c>
      <c r="G20" s="96">
        <v>2.3199999999999998</v>
      </c>
      <c r="H20" s="16"/>
      <c r="I20" s="16">
        <v>0</v>
      </c>
      <c r="J20" s="16"/>
      <c r="K20" s="5"/>
      <c r="L20" s="5"/>
      <c r="M20" s="5"/>
      <c r="N20" s="5"/>
      <c r="O20" s="5"/>
    </row>
    <row r="21" spans="2:18" x14ac:dyDescent="0.2">
      <c r="B21" s="222"/>
      <c r="C21" s="6" t="s">
        <v>11</v>
      </c>
      <c r="D21" s="17">
        <v>0.89</v>
      </c>
      <c r="E21" s="17">
        <v>0.97</v>
      </c>
      <c r="F21" s="56">
        <f t="shared" si="0"/>
        <v>7.999999999999996E-2</v>
      </c>
      <c r="G21" s="96">
        <v>0.97</v>
      </c>
      <c r="H21" s="16"/>
      <c r="I21" s="16">
        <v>0.44</v>
      </c>
      <c r="J21" s="16"/>
      <c r="K21" s="5"/>
      <c r="L21" s="5"/>
      <c r="M21" s="5"/>
      <c r="N21" s="5"/>
      <c r="O21" s="5"/>
    </row>
    <row r="22" spans="2:18" x14ac:dyDescent="0.2">
      <c r="B22" s="222"/>
      <c r="C22" s="6" t="s">
        <v>12</v>
      </c>
      <c r="D22" s="17">
        <v>0.89</v>
      </c>
      <c r="E22" s="17">
        <v>0.9</v>
      </c>
      <c r="F22" s="56">
        <f t="shared" si="0"/>
        <v>1.0000000000000009E-2</v>
      </c>
      <c r="G22" s="96">
        <v>0.9</v>
      </c>
      <c r="H22" s="16"/>
      <c r="I22" s="16">
        <v>0.89</v>
      </c>
      <c r="J22" s="16"/>
      <c r="K22" s="5"/>
      <c r="L22" s="5"/>
      <c r="M22" s="5"/>
      <c r="N22" s="5"/>
      <c r="O22" s="5"/>
    </row>
    <row r="23" spans="2:18" x14ac:dyDescent="0.2">
      <c r="B23" s="222"/>
      <c r="C23" s="6" t="s">
        <v>13</v>
      </c>
      <c r="D23" s="17">
        <v>0.67</v>
      </c>
      <c r="E23" s="17">
        <v>0.67</v>
      </c>
      <c r="F23" s="56">
        <f t="shared" si="0"/>
        <v>0</v>
      </c>
      <c r="G23" s="96">
        <v>0.67</v>
      </c>
      <c r="H23" s="16"/>
      <c r="I23" s="16">
        <v>0.67</v>
      </c>
      <c r="J23" s="16"/>
      <c r="K23" s="5"/>
      <c r="L23" s="5"/>
      <c r="M23" s="5"/>
      <c r="N23" s="5"/>
      <c r="O23" s="18">
        <f>40/32.37</f>
        <v>1.2357120790855731</v>
      </c>
    </row>
    <row r="24" spans="2:18" x14ac:dyDescent="0.2">
      <c r="B24" s="222"/>
      <c r="C24" s="6" t="s">
        <v>14</v>
      </c>
      <c r="D24" s="17">
        <v>3.85</v>
      </c>
      <c r="E24" s="17">
        <v>3.04</v>
      </c>
      <c r="F24" s="61">
        <f t="shared" si="0"/>
        <v>-0.81</v>
      </c>
      <c r="G24" s="96">
        <v>3.04</v>
      </c>
      <c r="H24" s="16"/>
      <c r="I24" s="16">
        <v>4.3099999999999996</v>
      </c>
      <c r="J24" s="16"/>
      <c r="K24" s="5"/>
      <c r="L24" s="5"/>
      <c r="M24" s="5"/>
      <c r="N24" s="5"/>
      <c r="O24" s="5"/>
    </row>
    <row r="25" spans="2:18" x14ac:dyDescent="0.2">
      <c r="B25" s="222"/>
      <c r="C25" s="6" t="s">
        <v>15</v>
      </c>
      <c r="D25" s="19">
        <f>D19-SUM(D20:D24)</f>
        <v>32.369999999999997</v>
      </c>
      <c r="E25" s="19">
        <f>E19-SUM(E20:E24)</f>
        <v>26.700000000000003</v>
      </c>
      <c r="F25" s="60">
        <f t="shared" si="0"/>
        <v>-5.6699999999999946</v>
      </c>
      <c r="G25" s="97">
        <f>G19-SUM(G20:G24)</f>
        <v>26.700000000000003</v>
      </c>
      <c r="H25" s="16"/>
      <c r="I25" s="16">
        <f>I19-SUM(I20:I24)</f>
        <v>33.69</v>
      </c>
      <c r="J25" s="20"/>
      <c r="K25" s="21"/>
      <c r="L25" s="21"/>
      <c r="M25" s="21"/>
      <c r="N25" s="21"/>
      <c r="O25" s="21"/>
      <c r="P25" s="22"/>
      <c r="Q25" s="22"/>
    </row>
    <row r="26" spans="2:18" x14ac:dyDescent="0.2">
      <c r="B26" s="222"/>
      <c r="C26" s="6" t="s">
        <v>16</v>
      </c>
      <c r="D26" s="15">
        <f>ROUNDUP(D19/D25,2)</f>
        <v>1.24</v>
      </c>
      <c r="E26" s="15">
        <f>ROUNDUP(E19/E25,2)</f>
        <v>1.3</v>
      </c>
      <c r="F26" s="48">
        <f t="shared" si="0"/>
        <v>6.0000000000000053E-2</v>
      </c>
      <c r="G26" s="98">
        <f>ROUNDUP(G19/G25,2)</f>
        <v>1.3</v>
      </c>
      <c r="H26" s="16"/>
      <c r="I26" s="16">
        <f>I19/I25</f>
        <v>1.1872959335114277</v>
      </c>
      <c r="J26" s="20"/>
      <c r="K26" s="21"/>
      <c r="L26" s="21"/>
      <c r="M26" s="21"/>
      <c r="N26" s="21"/>
      <c r="O26" s="21"/>
      <c r="P26" s="22"/>
      <c r="Q26" s="22"/>
    </row>
    <row r="27" spans="2:18" x14ac:dyDescent="0.2">
      <c r="B27" s="222"/>
      <c r="C27" s="6"/>
      <c r="D27" s="6"/>
      <c r="E27" s="6"/>
      <c r="F27" s="6"/>
      <c r="G27" s="99"/>
      <c r="J27" s="22"/>
      <c r="K27" s="22"/>
      <c r="L27" s="22"/>
      <c r="M27" s="22"/>
      <c r="N27" s="22"/>
      <c r="O27" s="22"/>
      <c r="P27" s="22"/>
      <c r="Q27" s="22"/>
    </row>
    <row r="28" spans="2:18" x14ac:dyDescent="0.2">
      <c r="B28" s="223"/>
      <c r="C28" s="23" t="s">
        <v>17</v>
      </c>
      <c r="D28" s="24">
        <f>ROUNDUP(D16*D26,2)</f>
        <v>24.12</v>
      </c>
      <c r="E28" s="24">
        <f>ROUNDUP(E16*E26,2)</f>
        <v>28.080000000000002</v>
      </c>
      <c r="F28" s="23"/>
      <c r="G28" s="100">
        <f>ROUNDUP(G16*G26,2)</f>
        <v>34.519999999999996</v>
      </c>
      <c r="H28" s="5" t="e">
        <f>#REF!*#REF!</f>
        <v>#REF!</v>
      </c>
      <c r="I28" s="5" t="e">
        <f>#REF!*#REF!</f>
        <v>#REF!</v>
      </c>
      <c r="J28" s="25" t="e">
        <f>24.12-#REF!</f>
        <v>#REF!</v>
      </c>
      <c r="K28" s="26"/>
      <c r="L28" s="26"/>
      <c r="M28" s="26" t="s">
        <v>18</v>
      </c>
      <c r="N28" s="26"/>
      <c r="O28" s="26"/>
      <c r="P28" s="27"/>
      <c r="Q28" s="28"/>
      <c r="R28" s="28"/>
    </row>
    <row r="29" spans="2:18" ht="15" customHeight="1" x14ac:dyDescent="0.2">
      <c r="B29" s="224" t="s">
        <v>19</v>
      </c>
      <c r="C29" s="29"/>
      <c r="D29" s="29"/>
      <c r="E29" s="29"/>
      <c r="F29" s="29"/>
      <c r="G29" s="101"/>
    </row>
    <row r="30" spans="2:18" x14ac:dyDescent="0.2">
      <c r="B30" s="222"/>
      <c r="C30" s="6" t="s">
        <v>20</v>
      </c>
      <c r="D30" s="30">
        <v>100</v>
      </c>
      <c r="E30" s="30">
        <v>150</v>
      </c>
      <c r="F30" s="63">
        <f>E30-D30</f>
        <v>50</v>
      </c>
      <c r="G30" s="102">
        <v>150</v>
      </c>
    </row>
    <row r="31" spans="2:18" s="1" customFormat="1" x14ac:dyDescent="0.2">
      <c r="B31" s="222"/>
      <c r="C31" s="51" t="s">
        <v>57</v>
      </c>
      <c r="D31" s="52"/>
      <c r="E31" s="52">
        <v>130</v>
      </c>
      <c r="F31" s="62">
        <f>E31-D31</f>
        <v>130</v>
      </c>
      <c r="G31" s="103">
        <v>130</v>
      </c>
    </row>
    <row r="32" spans="2:18" x14ac:dyDescent="0.2">
      <c r="B32" s="222"/>
      <c r="C32" s="6" t="s">
        <v>21</v>
      </c>
      <c r="D32" s="7">
        <v>0.57999999999999996</v>
      </c>
      <c r="E32" s="53">
        <v>0.58499999999999996</v>
      </c>
      <c r="F32" s="63">
        <f>E32-D32</f>
        <v>5.0000000000000044E-3</v>
      </c>
      <c r="G32" s="104">
        <v>0.58499999999999996</v>
      </c>
    </row>
    <row r="33" spans="2:19" x14ac:dyDescent="0.2">
      <c r="B33" s="222"/>
      <c r="C33" s="6" t="s">
        <v>22</v>
      </c>
      <c r="D33" s="13">
        <f>D32*D30</f>
        <v>57.999999999999993</v>
      </c>
      <c r="E33" s="13">
        <f>E31*E32</f>
        <v>76.05</v>
      </c>
      <c r="F33" s="62">
        <f>E33-D33</f>
        <v>18.050000000000004</v>
      </c>
      <c r="G33" s="93">
        <f>G31*G32</f>
        <v>76.05</v>
      </c>
    </row>
    <row r="34" spans="2:19" x14ac:dyDescent="0.2">
      <c r="B34" s="223"/>
      <c r="C34" s="23" t="s">
        <v>23</v>
      </c>
      <c r="D34" s="24">
        <f>D33/D25</f>
        <v>1.7917825146740809</v>
      </c>
      <c r="E34" s="24">
        <f>E33/E25</f>
        <v>2.8483146067415728</v>
      </c>
      <c r="F34" s="62">
        <f>E34-D34</f>
        <v>1.0565320920674919</v>
      </c>
      <c r="G34" s="100">
        <f>G33/G25</f>
        <v>2.8483146067415728</v>
      </c>
    </row>
    <row r="35" spans="2:19" ht="15" customHeight="1" x14ac:dyDescent="0.2">
      <c r="B35" s="224" t="s">
        <v>24</v>
      </c>
      <c r="C35" s="36" t="s">
        <v>25</v>
      </c>
      <c r="D35" s="55">
        <v>0</v>
      </c>
      <c r="E35" s="55">
        <v>0</v>
      </c>
      <c r="F35" s="36"/>
      <c r="G35" s="105">
        <v>0</v>
      </c>
      <c r="M35" t="s">
        <v>26</v>
      </c>
    </row>
    <row r="36" spans="2:19" x14ac:dyDescent="0.2">
      <c r="B36" s="222"/>
      <c r="C36" s="37" t="s">
        <v>27</v>
      </c>
      <c r="D36" s="64">
        <v>21.04</v>
      </c>
      <c r="E36" s="64">
        <v>25.24</v>
      </c>
      <c r="F36" s="56">
        <f>E36-D36</f>
        <v>4.1999999999999993</v>
      </c>
      <c r="G36" s="106">
        <f>G13+(G13*((E36-E13)/E13))</f>
        <v>31.029628562309057</v>
      </c>
      <c r="H36" s="5" t="e">
        <f>#REF!*2080</f>
        <v>#REF!</v>
      </c>
      <c r="I36" s="5" t="e">
        <f>H36/12</f>
        <v>#REF!</v>
      </c>
      <c r="J36" s="5"/>
      <c r="M36" t="s">
        <v>28</v>
      </c>
    </row>
    <row r="37" spans="2:19" x14ac:dyDescent="0.2">
      <c r="B37" s="222"/>
      <c r="C37" s="6" t="s">
        <v>52</v>
      </c>
      <c r="D37" s="8">
        <v>0.2092</v>
      </c>
      <c r="E37" s="8">
        <v>0.20080000000000001</v>
      </c>
      <c r="F37" s="59">
        <f>E37-D37</f>
        <v>-8.3999999999999908E-3</v>
      </c>
      <c r="G37" s="91">
        <v>0.20080000000000001</v>
      </c>
      <c r="H37" s="9" t="e">
        <f>#REF!/H36</f>
        <v>#REF!</v>
      </c>
      <c r="I37" s="9" t="e">
        <f>#REF!/I36</f>
        <v>#REF!</v>
      </c>
      <c r="J37" s="9"/>
      <c r="K37" s="10" t="e">
        <f>(#REF!*#REF!*2080)/12</f>
        <v>#REF!</v>
      </c>
      <c r="L37" s="10" t="s">
        <v>2</v>
      </c>
    </row>
    <row r="38" spans="2:19" x14ac:dyDescent="0.2">
      <c r="B38" s="222"/>
      <c r="C38" s="6" t="s">
        <v>53</v>
      </c>
      <c r="D38" s="8">
        <f>D15</f>
        <v>4.2000000000000003E-2</v>
      </c>
      <c r="E38" s="8">
        <f>E15</f>
        <v>4.8300000000000003E-2</v>
      </c>
      <c r="F38" s="58">
        <f>E38-D38</f>
        <v>6.3E-3</v>
      </c>
      <c r="G38" s="91">
        <f>G15</f>
        <v>4.8300000000000003E-2</v>
      </c>
      <c r="H38" s="9">
        <v>8.2600000000000007E-2</v>
      </c>
      <c r="I38" s="9">
        <v>8.2600000000000007E-2</v>
      </c>
      <c r="J38" s="9"/>
    </row>
    <row r="39" spans="2:19" ht="15" hidden="1" customHeight="1" x14ac:dyDescent="0.2">
      <c r="B39" s="222"/>
      <c r="C39" s="6" t="s">
        <v>7</v>
      </c>
      <c r="D39" s="6"/>
      <c r="E39" s="6"/>
      <c r="F39" s="6"/>
      <c r="G39" s="99"/>
      <c r="H39" s="5" t="e">
        <f>H36*#REF!</f>
        <v>#REF!</v>
      </c>
      <c r="I39" s="5" t="e">
        <f>I36*#REF!</f>
        <v>#REF!</v>
      </c>
      <c r="J39" s="5"/>
    </row>
    <row r="40" spans="2:19" ht="15" customHeight="1" x14ac:dyDescent="0.2">
      <c r="B40" s="222"/>
      <c r="C40" s="6" t="s">
        <v>29</v>
      </c>
      <c r="D40" s="39">
        <f>((D36+(D36*(D37+D38)))*2080)/52</f>
        <v>1053.00992</v>
      </c>
      <c r="E40" s="39">
        <f>((E36+(E36*(E37+E38)))*2080)/52</f>
        <v>1261.0913599999999</v>
      </c>
      <c r="F40" s="48">
        <f>E40-D40</f>
        <v>208.08143999999993</v>
      </c>
      <c r="G40" s="107">
        <f>((G36+(G36*(G37+G38)))*2080)/52</f>
        <v>1550.3643614872099</v>
      </c>
      <c r="H40" s="5"/>
      <c r="I40" s="5"/>
      <c r="J40" s="5"/>
    </row>
    <row r="41" spans="2:19" x14ac:dyDescent="0.2">
      <c r="B41" s="222"/>
      <c r="C41" s="6" t="s">
        <v>30</v>
      </c>
      <c r="D41" s="40">
        <v>10</v>
      </c>
      <c r="E41" s="40">
        <v>10</v>
      </c>
      <c r="F41" s="56">
        <f>E41-D41</f>
        <v>0</v>
      </c>
      <c r="G41" s="108">
        <v>10</v>
      </c>
      <c r="H41">
        <v>10</v>
      </c>
      <c r="I41">
        <v>10</v>
      </c>
    </row>
    <row r="42" spans="2:19" x14ac:dyDescent="0.2">
      <c r="B42" s="223"/>
      <c r="C42" s="23" t="s">
        <v>31</v>
      </c>
      <c r="D42" s="24">
        <f>D40/D25/D41</f>
        <v>3.2530426938523327</v>
      </c>
      <c r="E42" s="24">
        <f>E40/E25/E41</f>
        <v>4.7231886142322086</v>
      </c>
      <c r="F42" s="65">
        <f>E42-D42</f>
        <v>1.4701459203798759</v>
      </c>
      <c r="G42" s="109">
        <f>G40/G25/G41</f>
        <v>5.8066080954577144</v>
      </c>
      <c r="J42" s="31"/>
      <c r="K42" s="26"/>
      <c r="L42" s="26"/>
      <c r="M42" s="26">
        <f>4.68-3.25</f>
        <v>1.4299999999999997</v>
      </c>
      <c r="N42" s="28" t="s">
        <v>32</v>
      </c>
      <c r="O42" s="28"/>
    </row>
    <row r="43" spans="2:19" ht="15" customHeight="1" x14ac:dyDescent="0.2">
      <c r="B43" s="225" t="s">
        <v>33</v>
      </c>
      <c r="C43" s="29"/>
      <c r="D43" s="29"/>
      <c r="E43" s="29"/>
      <c r="F43" s="29"/>
      <c r="G43" s="101"/>
      <c r="J43" s="32"/>
    </row>
    <row r="44" spans="2:19" x14ac:dyDescent="0.2">
      <c r="B44" s="226"/>
      <c r="C44" s="6" t="s">
        <v>34</v>
      </c>
      <c r="D44" s="13">
        <f>D28+D34+D42</f>
        <v>29.164825208526416</v>
      </c>
      <c r="E44" s="13">
        <f>E28+E34+E42</f>
        <v>35.65150322097378</v>
      </c>
      <c r="F44" s="62">
        <f>E44-D44</f>
        <v>6.4866780124473635</v>
      </c>
      <c r="G44" s="93">
        <f>G28+G34+G42</f>
        <v>43.174922702199282</v>
      </c>
      <c r="J44" s="25" t="e">
        <f>SUM(J28:J42)</f>
        <v>#REF!</v>
      </c>
      <c r="K44" s="26"/>
      <c r="L44" s="26"/>
      <c r="M44" s="26" t="s">
        <v>35</v>
      </c>
      <c r="S44" s="1"/>
    </row>
    <row r="45" spans="2:19" ht="14.25" customHeight="1" x14ac:dyDescent="0.2">
      <c r="B45" s="226"/>
      <c r="C45" s="6" t="s">
        <v>36</v>
      </c>
      <c r="D45" s="40">
        <v>10</v>
      </c>
      <c r="E45" s="40">
        <v>10</v>
      </c>
      <c r="F45" s="56">
        <f>E45-D45</f>
        <v>0</v>
      </c>
      <c r="G45" s="110">
        <v>10</v>
      </c>
      <c r="I45" s="5">
        <v>10</v>
      </c>
      <c r="J45" s="5"/>
      <c r="S45" s="1"/>
    </row>
    <row r="46" spans="2:19" ht="15.75" customHeight="1" x14ac:dyDescent="0.2">
      <c r="B46" s="226"/>
      <c r="C46" s="34" t="s">
        <v>37</v>
      </c>
      <c r="D46" s="33">
        <f>D45*5/D25</f>
        <v>1.5446400988569664</v>
      </c>
      <c r="E46" s="33">
        <f>E45*5/E25</f>
        <v>1.8726591760299625</v>
      </c>
      <c r="F46" s="65">
        <f>E46-D46</f>
        <v>0.32801907717299605</v>
      </c>
      <c r="G46" s="111">
        <f>G45*5/G25</f>
        <v>1.8726591760299625</v>
      </c>
      <c r="I46" s="5">
        <f>I45*5/I25</f>
        <v>1.4841199168892847</v>
      </c>
      <c r="J46" s="5"/>
      <c r="S46" s="1"/>
    </row>
    <row r="47" spans="2:19" ht="15.75" customHeight="1" x14ac:dyDescent="0.2">
      <c r="B47" s="226"/>
      <c r="C47" s="34"/>
      <c r="D47" s="33"/>
      <c r="E47" s="33"/>
      <c r="F47" s="65"/>
      <c r="G47" s="111"/>
      <c r="I47" s="5"/>
      <c r="J47" s="5"/>
      <c r="S47" s="1"/>
    </row>
    <row r="48" spans="2:19" x14ac:dyDescent="0.2">
      <c r="B48" s="226"/>
      <c r="C48" s="6" t="s">
        <v>38</v>
      </c>
      <c r="D48" s="8">
        <v>0.12</v>
      </c>
      <c r="E48" s="8">
        <v>0.12</v>
      </c>
      <c r="F48" s="66">
        <f>E48-D48</f>
        <v>0</v>
      </c>
      <c r="G48" s="91">
        <v>0.12</v>
      </c>
      <c r="S48" s="1"/>
    </row>
    <row r="49" spans="2:19" x14ac:dyDescent="0.2">
      <c r="B49" s="227"/>
      <c r="C49" s="34" t="s">
        <v>41</v>
      </c>
      <c r="D49" s="33">
        <f>D48*D52</f>
        <v>4.1867999999999999</v>
      </c>
      <c r="E49" s="33">
        <f>E48*E52</f>
        <v>5.1167999999999996</v>
      </c>
      <c r="F49" s="65">
        <f>E49-D49</f>
        <v>0.92999999999999972</v>
      </c>
      <c r="G49" s="111">
        <f>G48*G52</f>
        <v>6.1427999999999994</v>
      </c>
      <c r="J49" s="31" t="e">
        <f>0.12*J44</f>
        <v>#REF!</v>
      </c>
      <c r="K49" s="26"/>
      <c r="L49" s="26"/>
      <c r="M49" s="26" t="s">
        <v>42</v>
      </c>
      <c r="S49" s="1"/>
    </row>
    <row r="50" spans="2:19" x14ac:dyDescent="0.2">
      <c r="B50" s="112"/>
      <c r="C50" s="70"/>
      <c r="D50" s="33"/>
      <c r="E50" s="33"/>
      <c r="F50" s="65"/>
      <c r="G50" s="111"/>
      <c r="J50" s="71"/>
      <c r="K50" s="26"/>
      <c r="L50" s="26"/>
      <c r="M50" s="26"/>
      <c r="S50" s="1"/>
    </row>
    <row r="51" spans="2:19" x14ac:dyDescent="0.2">
      <c r="B51" s="112"/>
      <c r="C51" s="70" t="s">
        <v>63</v>
      </c>
      <c r="D51" s="33"/>
      <c r="E51" s="33"/>
      <c r="F51" s="65"/>
      <c r="G51" s="111"/>
      <c r="J51" s="71"/>
      <c r="K51" s="26"/>
      <c r="L51" s="26"/>
      <c r="M51" s="26"/>
      <c r="S51" s="1"/>
    </row>
    <row r="52" spans="2:19" ht="16" thickBot="1" x14ac:dyDescent="0.25">
      <c r="B52" s="113"/>
      <c r="C52" s="114" t="s">
        <v>62</v>
      </c>
      <c r="D52" s="115">
        <f>ROUNDDOWN((D28+D34+D42+D46)/(1-D48),2)</f>
        <v>34.89</v>
      </c>
      <c r="E52" s="115">
        <f>ROUNDDOWN((E28+E34+E42+E46)/(1-E48),2)</f>
        <v>42.64</v>
      </c>
      <c r="F52" s="116">
        <f>E52-D52</f>
        <v>7.75</v>
      </c>
      <c r="G52" s="117">
        <f>ROUNDDOWN((G28+G34+G42+G46)/(1-G48),2)</f>
        <v>51.19</v>
      </c>
      <c r="J52" s="35" t="e">
        <f>SUM(J44:J49)</f>
        <v>#REF!</v>
      </c>
      <c r="K52" s="26"/>
      <c r="L52" s="26"/>
      <c r="M52" s="26" t="s">
        <v>45</v>
      </c>
      <c r="S52" s="1"/>
    </row>
    <row r="53" spans="2:19" x14ac:dyDescent="0.2">
      <c r="C53" s="67"/>
      <c r="D53" s="68"/>
      <c r="E53" s="68"/>
      <c r="F53" s="69"/>
      <c r="G53" s="68"/>
      <c r="J53" s="35"/>
      <c r="K53" s="26"/>
      <c r="L53" s="26"/>
      <c r="M53" s="26"/>
      <c r="S53" s="1"/>
    </row>
    <row r="54" spans="2:19" x14ac:dyDescent="0.2">
      <c r="C54" s="67"/>
      <c r="D54" s="68"/>
      <c r="E54" s="68"/>
      <c r="F54" s="69"/>
      <c r="G54" s="68"/>
      <c r="J54" s="35"/>
      <c r="K54" s="26"/>
      <c r="L54" s="26"/>
      <c r="M54" s="26"/>
      <c r="S54" s="1"/>
    </row>
  </sheetData>
  <sheetProtection algorithmName="SHA-512" hashValue="0DMkasXewhDT34iN/MT7fjr7rgd6SGFcjw/7xngUANjrk6iOatJ79VZlvN3XHL9AMIykpQL5n44otYzhZRHi3A==" saltValue="MlDj97hrr1VOEI5wcmPBRw==" spinCount="100000" sheet="1" objects="1" scenarios="1"/>
  <mergeCells count="6">
    <mergeCell ref="T5:Z10"/>
    <mergeCell ref="B10:B28"/>
    <mergeCell ref="B29:B34"/>
    <mergeCell ref="B35:B42"/>
    <mergeCell ref="B43:B49"/>
    <mergeCell ref="B5:G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A18F3-09C6-4C3F-B4B2-33F3E1311430}">
  <dimension ref="B2:P21"/>
  <sheetViews>
    <sheetView workbookViewId="0">
      <selection activeCell="B21" sqref="B21:P21"/>
    </sheetView>
  </sheetViews>
  <sheetFormatPr baseColWidth="10" defaultColWidth="8.83203125" defaultRowHeight="15" x14ac:dyDescent="0.2"/>
  <cols>
    <col min="2" max="2" width="24.83203125" customWidth="1"/>
    <col min="3" max="3" width="14.1640625" customWidth="1"/>
    <col min="4" max="4" width="10.5" customWidth="1"/>
    <col min="5" max="5" width="12.5" customWidth="1"/>
    <col min="6" max="6" width="10.6640625" customWidth="1"/>
    <col min="7" max="8" width="13.6640625" customWidth="1"/>
    <col min="10" max="10" width="10.1640625" customWidth="1"/>
  </cols>
  <sheetData>
    <row r="2" spans="2:13" ht="26.25" customHeight="1" x14ac:dyDescent="0.2">
      <c r="B2" s="171" t="s">
        <v>125</v>
      </c>
      <c r="C2" s="72"/>
      <c r="D2" s="72"/>
      <c r="G2" s="174" t="s">
        <v>126</v>
      </c>
      <c r="H2" s="175" t="s">
        <v>132</v>
      </c>
    </row>
    <row r="3" spans="2:13" s="47" customFormat="1" ht="23" x14ac:dyDescent="0.25">
      <c r="B3" s="170" t="s">
        <v>124</v>
      </c>
    </row>
    <row r="5" spans="2:13" ht="16" thickBot="1" x14ac:dyDescent="0.25"/>
    <row r="6" spans="2:13" x14ac:dyDescent="0.2">
      <c r="B6" s="229" t="s">
        <v>84</v>
      </c>
      <c r="C6" s="230"/>
      <c r="D6" s="230"/>
      <c r="E6" s="230"/>
      <c r="F6" s="230"/>
      <c r="G6" s="230"/>
      <c r="H6" s="231"/>
      <c r="J6" s="197" t="s">
        <v>123</v>
      </c>
      <c r="K6" s="198"/>
      <c r="L6" s="198"/>
      <c r="M6" s="199"/>
    </row>
    <row r="7" spans="2:13" ht="32" x14ac:dyDescent="0.2">
      <c r="B7" s="82"/>
      <c r="C7" s="83" t="s">
        <v>64</v>
      </c>
      <c r="D7" s="83" t="s">
        <v>65</v>
      </c>
      <c r="E7" s="83" t="s">
        <v>66</v>
      </c>
      <c r="F7" s="83" t="s">
        <v>71</v>
      </c>
      <c r="G7" s="83" t="s">
        <v>70</v>
      </c>
      <c r="H7" s="84" t="s">
        <v>72</v>
      </c>
      <c r="J7" s="200"/>
      <c r="K7" s="201"/>
      <c r="L7" s="201"/>
      <c r="M7" s="202"/>
    </row>
    <row r="8" spans="2:13" x14ac:dyDescent="0.2">
      <c r="B8" s="85" t="s">
        <v>114</v>
      </c>
      <c r="C8" s="76">
        <v>60</v>
      </c>
      <c r="D8" s="76">
        <v>38.25</v>
      </c>
      <c r="E8" s="77">
        <f>C8*D8</f>
        <v>2295</v>
      </c>
      <c r="F8" s="77">
        <f>E8*12</f>
        <v>27540</v>
      </c>
      <c r="G8" s="77">
        <f>F8*100</f>
        <v>2754000</v>
      </c>
      <c r="H8" s="78">
        <f>G8*10</f>
        <v>27540000</v>
      </c>
      <c r="J8" s="200"/>
      <c r="K8" s="201"/>
      <c r="L8" s="201"/>
      <c r="M8" s="202"/>
    </row>
    <row r="9" spans="2:13" x14ac:dyDescent="0.2">
      <c r="B9" s="85" t="s">
        <v>67</v>
      </c>
      <c r="C9" s="76">
        <v>19</v>
      </c>
      <c r="D9" s="79">
        <f>'Rate Calculation Comparison'!G52</f>
        <v>51.19</v>
      </c>
      <c r="E9" s="77">
        <f>C9*D9</f>
        <v>972.6099999999999</v>
      </c>
      <c r="F9" s="77">
        <f>E9*12</f>
        <v>11671.32</v>
      </c>
      <c r="G9" s="77">
        <f>F9*100</f>
        <v>1167132</v>
      </c>
      <c r="H9" s="78">
        <f>G9*10</f>
        <v>11671320</v>
      </c>
      <c r="J9" s="200"/>
      <c r="K9" s="201"/>
      <c r="L9" s="201"/>
      <c r="M9" s="202"/>
    </row>
    <row r="10" spans="2:13" x14ac:dyDescent="0.2">
      <c r="B10" s="85" t="s">
        <v>68</v>
      </c>
      <c r="C10" s="76">
        <f>C8-C9</f>
        <v>41</v>
      </c>
      <c r="D10" s="79">
        <f>D8-D9</f>
        <v>-12.939999999999998</v>
      </c>
      <c r="E10" s="77">
        <f>E8-E9</f>
        <v>1322.39</v>
      </c>
      <c r="F10" s="77">
        <f t="shared" ref="F10" si="0">E10*12</f>
        <v>15868.68</v>
      </c>
      <c r="G10" s="77">
        <f>F10*100</f>
        <v>1586868</v>
      </c>
      <c r="H10" s="78">
        <f t="shared" ref="H10" si="1">G10*10</f>
        <v>15868680</v>
      </c>
      <c r="J10" s="200"/>
      <c r="K10" s="201"/>
      <c r="L10" s="201"/>
      <c r="M10" s="202"/>
    </row>
    <row r="11" spans="2:13" ht="16" thickBot="1" x14ac:dyDescent="0.25">
      <c r="B11" s="86" t="s">
        <v>69</v>
      </c>
      <c r="C11" s="80">
        <f t="shared" ref="C11:H11" si="2">C10/C9</f>
        <v>2.1578947368421053</v>
      </c>
      <c r="D11" s="80">
        <f t="shared" si="2"/>
        <v>-0.25278374682555182</v>
      </c>
      <c r="E11" s="80">
        <f t="shared" si="2"/>
        <v>1.3596302731824681</v>
      </c>
      <c r="F11" s="80">
        <f t="shared" si="2"/>
        <v>1.3596302731824679</v>
      </c>
      <c r="G11" s="80">
        <f t="shared" si="2"/>
        <v>1.3596302731824679</v>
      </c>
      <c r="H11" s="81">
        <f t="shared" si="2"/>
        <v>1.3596302731824679</v>
      </c>
      <c r="J11" s="203"/>
      <c r="K11" s="204"/>
      <c r="L11" s="204"/>
      <c r="M11" s="205"/>
    </row>
    <row r="12" spans="2:13" ht="16" thickBot="1" x14ac:dyDescent="0.25"/>
    <row r="13" spans="2:13" x14ac:dyDescent="0.2">
      <c r="B13" s="167" t="s">
        <v>120</v>
      </c>
      <c r="C13" s="168"/>
      <c r="D13" s="168"/>
      <c r="E13" s="179"/>
      <c r="F13" s="176"/>
      <c r="G13" s="176"/>
      <c r="J13" s="197" t="s">
        <v>147</v>
      </c>
      <c r="K13" s="198"/>
      <c r="L13" s="198"/>
      <c r="M13" s="199"/>
    </row>
    <row r="14" spans="2:13" ht="32" x14ac:dyDescent="0.2">
      <c r="B14" s="160"/>
      <c r="C14" s="161" t="s">
        <v>121</v>
      </c>
      <c r="D14" s="162" t="s">
        <v>117</v>
      </c>
      <c r="E14" s="161" t="s">
        <v>116</v>
      </c>
      <c r="F14" s="176"/>
      <c r="G14" s="176"/>
      <c r="J14" s="200"/>
      <c r="K14" s="201"/>
      <c r="L14" s="201"/>
      <c r="M14" s="202"/>
    </row>
    <row r="15" spans="2:13" x14ac:dyDescent="0.2">
      <c r="B15" s="160" t="s">
        <v>115</v>
      </c>
      <c r="C15" s="163">
        <v>853858000</v>
      </c>
      <c r="D15" s="164">
        <v>13040</v>
      </c>
      <c r="E15" s="165">
        <f>C15/D15</f>
        <v>65479.907975460126</v>
      </c>
      <c r="F15" s="176"/>
      <c r="G15" s="159"/>
      <c r="H15" s="5"/>
      <c r="I15" s="169"/>
      <c r="J15" s="200"/>
      <c r="K15" s="201"/>
      <c r="L15" s="201"/>
      <c r="M15" s="202"/>
    </row>
    <row r="16" spans="2:13" ht="16" thickBot="1" x14ac:dyDescent="0.25">
      <c r="B16" s="157" t="s">
        <v>67</v>
      </c>
      <c r="C16" s="159">
        <v>142309000</v>
      </c>
      <c r="D16" s="158">
        <v>19795</v>
      </c>
      <c r="E16" s="180">
        <f>C16/D16</f>
        <v>7189.1386713816619</v>
      </c>
      <c r="F16" s="166"/>
      <c r="G16" s="177"/>
      <c r="H16" s="5"/>
      <c r="I16" s="169"/>
      <c r="J16" s="200"/>
      <c r="K16" s="201"/>
      <c r="L16" s="201"/>
      <c r="M16" s="202"/>
    </row>
    <row r="17" spans="2:16" x14ac:dyDescent="0.2">
      <c r="B17" s="181" t="s">
        <v>118</v>
      </c>
      <c r="C17" s="182"/>
      <c r="D17" s="183"/>
      <c r="E17" s="184">
        <f>E15-E16</f>
        <v>58290.769304078465</v>
      </c>
      <c r="F17" s="176"/>
      <c r="G17" s="178"/>
      <c r="J17" s="200"/>
      <c r="K17" s="201"/>
      <c r="L17" s="201"/>
      <c r="M17" s="202"/>
    </row>
    <row r="18" spans="2:16" ht="16" thickBot="1" x14ac:dyDescent="0.25">
      <c r="B18" s="156"/>
      <c r="J18" s="203"/>
      <c r="K18" s="204"/>
      <c r="L18" s="204"/>
      <c r="M18" s="205"/>
    </row>
    <row r="19" spans="2:16" x14ac:dyDescent="0.2">
      <c r="B19" t="s">
        <v>119</v>
      </c>
    </row>
    <row r="20" spans="2:16" ht="16" thickBot="1" x14ac:dyDescent="0.25"/>
    <row r="21" spans="2:16" ht="22" thickBot="1" x14ac:dyDescent="0.3">
      <c r="B21" s="232" t="s">
        <v>148</v>
      </c>
      <c r="C21" s="233"/>
      <c r="D21" s="233"/>
      <c r="E21" s="233"/>
      <c r="F21" s="233"/>
      <c r="G21" s="233"/>
      <c r="H21" s="233"/>
      <c r="I21" s="233"/>
      <c r="J21" s="233"/>
      <c r="K21" s="233"/>
      <c r="L21" s="233"/>
      <c r="M21" s="233"/>
      <c r="N21" s="233"/>
      <c r="O21" s="233"/>
      <c r="P21" s="234"/>
    </row>
  </sheetData>
  <sheetProtection algorithmName="SHA-512" hashValue="zX1AluYinsP9aeekx9ctc2liyCH2jNa0ahqmHSTBvfXpUw6gW7dci4rEDo1p+Dzv4SMtOV6zNjDBsYcHsEcHCg==" saltValue="eCcddCb3SJ17FPt9w9JKHA==" spinCount="100000" sheet="1" objects="1" scenarios="1"/>
  <mergeCells count="4">
    <mergeCell ref="B6:H6"/>
    <mergeCell ref="J6:M11"/>
    <mergeCell ref="B21:P21"/>
    <mergeCell ref="J13:M1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4FC1D-0608-420E-A0E5-96F844B6D648}">
  <dimension ref="B1:Q5"/>
  <sheetViews>
    <sheetView tabSelected="1" topLeftCell="A2" workbookViewId="0">
      <selection activeCell="A37" sqref="A37"/>
    </sheetView>
  </sheetViews>
  <sheetFormatPr baseColWidth="10" defaultColWidth="8.83203125" defaultRowHeight="15" x14ac:dyDescent="0.2"/>
  <sheetData>
    <row r="1" spans="2:17" ht="26.25" customHeight="1" x14ac:dyDescent="0.2">
      <c r="B1" s="171" t="s">
        <v>125</v>
      </c>
      <c r="C1" s="72"/>
      <c r="D1" s="72"/>
      <c r="G1" s="174"/>
      <c r="H1" s="175"/>
    </row>
    <row r="2" spans="2:17" s="47" customFormat="1" ht="23" x14ac:dyDescent="0.25">
      <c r="B2" s="170" t="s">
        <v>133</v>
      </c>
    </row>
    <row r="4" spans="2:17" s="185" customFormat="1" ht="19" x14ac:dyDescent="0.25">
      <c r="C4" s="185" t="s">
        <v>81</v>
      </c>
      <c r="Q4" s="185" t="s">
        <v>82</v>
      </c>
    </row>
    <row r="5" spans="2:17" x14ac:dyDescent="0.2">
      <c r="Q5" t="s">
        <v>83</v>
      </c>
    </row>
  </sheetData>
  <sheetProtection algorithmName="SHA-512" hashValue="KZ0IJfejdTLilfLxG0GbjtJZRaAJN1be8QMhrsrekfGqfe1JpnE10lRQlIRAKCT6WSSSIvz4oYvP7BDw1jK/vA==" saltValue="AiH6bUOpBBQKoNi+GOTwZg==" spinCount="100000" sheet="1" objects="1" scenarios="1"/>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Summary</vt:lpstr>
      <vt:lpstr>Comparison of Occupations</vt:lpstr>
      <vt:lpstr>BLS Adjusted Wage Rate</vt:lpstr>
      <vt:lpstr>Rate Calculation Comparison</vt:lpstr>
      <vt:lpstr>Cost Comparison</vt:lpstr>
      <vt:lpstr>Burns &amp; Assoc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Rath</dc:creator>
  <cp:lastModifiedBy>Mark Melanson</cp:lastModifiedBy>
  <cp:lastPrinted>2022-07-12T14:03:47Z</cp:lastPrinted>
  <dcterms:created xsi:type="dcterms:W3CDTF">2022-05-29T15:38:40Z</dcterms:created>
  <dcterms:modified xsi:type="dcterms:W3CDTF">2022-07-12T14:06:22Z</dcterms:modified>
</cp:coreProperties>
</file>